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760" yWindow="560" windowWidth="24720" windowHeight="13980" tabRatio="919"/>
  </bookViews>
  <sheets>
    <sheet name="Budget" sheetId="1" r:id="rId1"/>
    <sheet name="Home Concerts" sheetId="2" r:id="rId2"/>
    <sheet name="FY17 personnel" sheetId="3" r:id="rId3"/>
    <sheet name="Artistic" sheetId="4" r:id="rId4"/>
    <sheet name="Admin" sheetId="6" r:id="rId5"/>
    <sheet name="FY17 AAM" sheetId="8" r:id="rId6"/>
    <sheet name="FY17 self-bookings" sheetId="9" r:id="rId7"/>
    <sheet name="Found&amp;Govt" sheetId="10" r:id="rId8"/>
    <sheet name="Travel (Goinz)" sheetId="11" r:id="rId9"/>
    <sheet name="Dev Exp (Carly)" sheetId="12" r:id="rId10"/>
    <sheet name="Marketing (Carly)" sheetId="13" r:id="rId11"/>
    <sheet name="NAF Loan" sheetId="14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1" l="1"/>
  <c r="G41" i="1"/>
  <c r="H29" i="1"/>
  <c r="G17" i="1"/>
  <c r="E18" i="4"/>
  <c r="H17" i="9"/>
  <c r="F17" i="9"/>
  <c r="H18" i="9"/>
  <c r="H6" i="1"/>
  <c r="D31" i="6"/>
  <c r="E26" i="13"/>
  <c r="G30" i="1"/>
  <c r="G49" i="1"/>
  <c r="I39" i="2"/>
  <c r="H41" i="1"/>
  <c r="F28" i="13"/>
  <c r="E27" i="6"/>
  <c r="H64" i="1"/>
  <c r="H37" i="1"/>
  <c r="H34" i="1"/>
  <c r="P21" i="12"/>
  <c r="M21" i="12"/>
  <c r="I21" i="12"/>
  <c r="D6" i="4"/>
  <c r="H40" i="1"/>
  <c r="E37" i="4"/>
  <c r="O5" i="12"/>
  <c r="N12" i="12"/>
  <c r="E50" i="4"/>
  <c r="M27" i="13"/>
  <c r="G27" i="13"/>
  <c r="G25" i="13"/>
  <c r="E25" i="13"/>
  <c r="E23" i="13"/>
  <c r="E31" i="13"/>
  <c r="G23" i="13"/>
  <c r="G31" i="13"/>
  <c r="M23" i="13"/>
  <c r="M31" i="13"/>
  <c r="F23" i="13"/>
  <c r="F31" i="13"/>
  <c r="E33" i="13"/>
  <c r="R23" i="13"/>
  <c r="L23" i="6"/>
  <c r="D28" i="6"/>
  <c r="M10" i="12"/>
  <c r="R10" i="12"/>
  <c r="H53" i="1"/>
  <c r="O4" i="12"/>
  <c r="R4" i="12"/>
  <c r="H52" i="1"/>
  <c r="G19" i="12"/>
  <c r="I19" i="12"/>
  <c r="M19" i="12"/>
  <c r="P19" i="12"/>
  <c r="R19" i="12"/>
  <c r="H54" i="1"/>
  <c r="H55" i="1"/>
  <c r="H4" i="1"/>
  <c r="D42" i="2"/>
  <c r="C12" i="2"/>
  <c r="D12" i="2"/>
  <c r="D7" i="2"/>
  <c r="D24" i="2"/>
  <c r="D32" i="2"/>
  <c r="D40" i="2"/>
  <c r="N15" i="4"/>
  <c r="Q16" i="4"/>
  <c r="AH12" i="2"/>
  <c r="AH24" i="2"/>
  <c r="AH27" i="2"/>
  <c r="AH32" i="2"/>
  <c r="AH42" i="2"/>
  <c r="AM32" i="2"/>
  <c r="AM24" i="2"/>
  <c r="AM12" i="2"/>
  <c r="AM42" i="2"/>
  <c r="AH45" i="2"/>
  <c r="AH46" i="2"/>
  <c r="AB12" i="2"/>
  <c r="AB24" i="2"/>
  <c r="AB32" i="2"/>
  <c r="AB42" i="2"/>
  <c r="AB45" i="2"/>
  <c r="AB46" i="2"/>
  <c r="V12" i="2"/>
  <c r="V24" i="2"/>
  <c r="V32" i="2"/>
  <c r="V42" i="2"/>
  <c r="V45" i="2"/>
  <c r="V46" i="2"/>
  <c r="P7" i="2"/>
  <c r="P8" i="2"/>
  <c r="P9" i="2"/>
  <c r="P10" i="2"/>
  <c r="P11" i="2"/>
  <c r="P12" i="2"/>
  <c r="P15" i="2"/>
  <c r="P17" i="2"/>
  <c r="P18" i="2"/>
  <c r="P21" i="2"/>
  <c r="P22" i="2"/>
  <c r="P24" i="2"/>
  <c r="P27" i="2"/>
  <c r="P28" i="2"/>
  <c r="P29" i="2"/>
  <c r="P30" i="2"/>
  <c r="P31" i="2"/>
  <c r="P32" i="2"/>
  <c r="P40" i="2"/>
  <c r="P42" i="2"/>
  <c r="P45" i="2"/>
  <c r="P46" i="2"/>
  <c r="J7" i="2"/>
  <c r="J8" i="2"/>
  <c r="J9" i="2"/>
  <c r="J10" i="2"/>
  <c r="J11" i="2"/>
  <c r="J12" i="2"/>
  <c r="J15" i="2"/>
  <c r="J17" i="2"/>
  <c r="J18" i="2"/>
  <c r="J19" i="2"/>
  <c r="J20" i="2"/>
  <c r="J21" i="2"/>
  <c r="J22" i="2"/>
  <c r="J24" i="2"/>
  <c r="J27" i="2"/>
  <c r="J28" i="2"/>
  <c r="J29" i="2"/>
  <c r="J30" i="2"/>
  <c r="J31" i="2"/>
  <c r="J32" i="2"/>
  <c r="J35" i="2"/>
  <c r="J40" i="2"/>
  <c r="J42" i="2"/>
  <c r="J45" i="2"/>
  <c r="J46" i="2"/>
  <c r="D8" i="2"/>
  <c r="D9" i="2"/>
  <c r="D10" i="2"/>
  <c r="D11" i="2"/>
  <c r="D15" i="2"/>
  <c r="D16" i="2"/>
  <c r="D17" i="2"/>
  <c r="D18" i="2"/>
  <c r="D19" i="2"/>
  <c r="D20" i="2"/>
  <c r="D21" i="2"/>
  <c r="D27" i="2"/>
  <c r="D28" i="2"/>
  <c r="D29" i="2"/>
  <c r="D30" i="2"/>
  <c r="D31" i="2"/>
  <c r="D35" i="2"/>
  <c r="D36" i="2"/>
  <c r="D37" i="2"/>
  <c r="D38" i="2"/>
  <c r="D39" i="2"/>
  <c r="D45" i="2"/>
  <c r="D46" i="2"/>
  <c r="AF12" i="2"/>
  <c r="AF24" i="2"/>
  <c r="AF32" i="2"/>
  <c r="AF42" i="2"/>
  <c r="AL32" i="2"/>
  <c r="AL24" i="2"/>
  <c r="AL12" i="2"/>
  <c r="AL42" i="2"/>
  <c r="AF45" i="2"/>
  <c r="Z12" i="2"/>
  <c r="Z24" i="2"/>
  <c r="Z32" i="2"/>
  <c r="Z42" i="2"/>
  <c r="Z45" i="2"/>
  <c r="T12" i="2"/>
  <c r="T24" i="2"/>
  <c r="T32" i="2"/>
  <c r="T42" i="2"/>
  <c r="T45" i="2"/>
  <c r="N12" i="2"/>
  <c r="N24" i="2"/>
  <c r="N32" i="2"/>
  <c r="N42" i="2"/>
  <c r="N45" i="2"/>
  <c r="H12" i="2"/>
  <c r="H24" i="2"/>
  <c r="H32" i="2"/>
  <c r="H40" i="2"/>
  <c r="H42" i="2"/>
  <c r="H45" i="2"/>
  <c r="B24" i="2"/>
  <c r="B42" i="2"/>
  <c r="B45" i="2"/>
  <c r="AS32" i="2"/>
  <c r="AS24" i="2"/>
  <c r="AS12" i="2"/>
  <c r="AS42" i="2"/>
  <c r="AR27" i="2"/>
  <c r="AR28" i="2"/>
  <c r="AR29" i="2"/>
  <c r="AR30" i="2"/>
  <c r="AR31" i="2"/>
  <c r="AR32" i="2"/>
  <c r="AR15" i="2"/>
  <c r="AR17" i="2"/>
  <c r="AR18" i="2"/>
  <c r="AR19" i="2"/>
  <c r="AR20" i="2"/>
  <c r="AR21" i="2"/>
  <c r="AR22" i="2"/>
  <c r="AR24" i="2"/>
  <c r="AR8" i="2"/>
  <c r="AR9" i="2"/>
  <c r="AR10" i="2"/>
  <c r="AR11" i="2"/>
  <c r="AR12" i="2"/>
  <c r="AR42" i="2"/>
  <c r="AQ28" i="2"/>
  <c r="AQ29" i="2"/>
  <c r="AQ30" i="2"/>
  <c r="AQ31" i="2"/>
  <c r="AQ32" i="2"/>
  <c r="AQ15" i="2"/>
  <c r="AQ17" i="2"/>
  <c r="AQ18" i="2"/>
  <c r="AQ19" i="2"/>
  <c r="AQ20" i="2"/>
  <c r="AQ21" i="2"/>
  <c r="AQ22" i="2"/>
  <c r="AQ24" i="2"/>
  <c r="AQ8" i="2"/>
  <c r="AQ9" i="2"/>
  <c r="AQ10" i="2"/>
  <c r="AQ11" i="2"/>
  <c r="AQ12" i="2"/>
  <c r="AQ42" i="2"/>
  <c r="AP32" i="2"/>
  <c r="AP24" i="2"/>
  <c r="AP12" i="2"/>
  <c r="AP42" i="2"/>
  <c r="AN42" i="2"/>
  <c r="AI12" i="2"/>
  <c r="AI24" i="2"/>
  <c r="AI32" i="2"/>
  <c r="AI42" i="2"/>
  <c r="AJ42" i="2"/>
  <c r="AG42" i="2"/>
  <c r="AC12" i="2"/>
  <c r="AC24" i="2"/>
  <c r="AC32" i="2"/>
  <c r="AC40" i="2"/>
  <c r="AC42" i="2"/>
  <c r="AD42" i="2"/>
  <c r="AA42" i="2"/>
  <c r="W12" i="2"/>
  <c r="W24" i="2"/>
  <c r="W32" i="2"/>
  <c r="W40" i="2"/>
  <c r="W42" i="2"/>
  <c r="X42" i="2"/>
  <c r="U42" i="2"/>
  <c r="Q12" i="2"/>
  <c r="Q24" i="2"/>
  <c r="Q32" i="2"/>
  <c r="Q40" i="2"/>
  <c r="Q42" i="2"/>
  <c r="R42" i="2"/>
  <c r="O42" i="2"/>
  <c r="K12" i="2"/>
  <c r="K24" i="2"/>
  <c r="K32" i="2"/>
  <c r="K40" i="2"/>
  <c r="K42" i="2"/>
  <c r="L42" i="2"/>
  <c r="I42" i="2"/>
  <c r="E12" i="2"/>
  <c r="E24" i="2"/>
  <c r="E32" i="2"/>
  <c r="E40" i="2"/>
  <c r="E42" i="2"/>
  <c r="F42" i="2"/>
  <c r="C42" i="2"/>
  <c r="AN40" i="2"/>
  <c r="AJ40" i="2"/>
  <c r="AG40" i="2"/>
  <c r="AD40" i="2"/>
  <c r="AA40" i="2"/>
  <c r="X40" i="2"/>
  <c r="U40" i="2"/>
  <c r="R40" i="2"/>
  <c r="L40" i="2"/>
  <c r="I40" i="2"/>
  <c r="I38" i="2"/>
  <c r="I37" i="2"/>
  <c r="I36" i="2"/>
  <c r="AN32" i="2"/>
  <c r="AJ32" i="2"/>
  <c r="AG32" i="2"/>
  <c r="AD32" i="2"/>
  <c r="AA32" i="2"/>
  <c r="X32" i="2"/>
  <c r="U32" i="2"/>
  <c r="R32" i="2"/>
  <c r="O32" i="2"/>
  <c r="L32" i="2"/>
  <c r="I32" i="2"/>
  <c r="AN31" i="2"/>
  <c r="AJ31" i="2"/>
  <c r="AG31" i="2"/>
  <c r="AD31" i="2"/>
  <c r="AA31" i="2"/>
  <c r="X31" i="2"/>
  <c r="U31" i="2"/>
  <c r="R31" i="2"/>
  <c r="L31" i="2"/>
  <c r="AN30" i="2"/>
  <c r="AJ30" i="2"/>
  <c r="AG30" i="2"/>
  <c r="AD30" i="2"/>
  <c r="AA30" i="2"/>
  <c r="X30" i="2"/>
  <c r="U30" i="2"/>
  <c r="R30" i="2"/>
  <c r="L30" i="2"/>
  <c r="AN29" i="2"/>
  <c r="AJ29" i="2"/>
  <c r="AG29" i="2"/>
  <c r="AD29" i="2"/>
  <c r="AA29" i="2"/>
  <c r="X29" i="2"/>
  <c r="U29" i="2"/>
  <c r="R29" i="2"/>
  <c r="L29" i="2"/>
  <c r="AN28" i="2"/>
  <c r="AJ28" i="2"/>
  <c r="AG28" i="2"/>
  <c r="AD28" i="2"/>
  <c r="AA28" i="2"/>
  <c r="X28" i="2"/>
  <c r="U28" i="2"/>
  <c r="R28" i="2"/>
  <c r="L28" i="2"/>
  <c r="AN27" i="2"/>
  <c r="AJ27" i="2"/>
  <c r="AD27" i="2"/>
  <c r="AA27" i="2"/>
  <c r="X27" i="2"/>
  <c r="U27" i="2"/>
  <c r="R27" i="2"/>
  <c r="L27" i="2"/>
  <c r="AN24" i="2"/>
  <c r="AJ24" i="2"/>
  <c r="AG24" i="2"/>
  <c r="AD24" i="2"/>
  <c r="AA24" i="2"/>
  <c r="X24" i="2"/>
  <c r="U24" i="2"/>
  <c r="R24" i="2"/>
  <c r="O24" i="2"/>
  <c r="L24" i="2"/>
  <c r="I24" i="2"/>
  <c r="F24" i="2"/>
  <c r="C24" i="2"/>
  <c r="C23" i="2"/>
  <c r="AN22" i="2"/>
  <c r="AJ22" i="2"/>
  <c r="AG22" i="2"/>
  <c r="AD22" i="2"/>
  <c r="AA22" i="2"/>
  <c r="X22" i="2"/>
  <c r="U22" i="2"/>
  <c r="R22" i="2"/>
  <c r="L22" i="2"/>
  <c r="AN21" i="2"/>
  <c r="AJ21" i="2"/>
  <c r="AG21" i="2"/>
  <c r="AD21" i="2"/>
  <c r="AA21" i="2"/>
  <c r="X21" i="2"/>
  <c r="U21" i="2"/>
  <c r="R21" i="2"/>
  <c r="L21" i="2"/>
  <c r="F21" i="2"/>
  <c r="AJ20" i="2"/>
  <c r="AG20" i="2"/>
  <c r="L20" i="2"/>
  <c r="F20" i="2"/>
  <c r="AN19" i="2"/>
  <c r="AJ19" i="2"/>
  <c r="AG19" i="2"/>
  <c r="L19" i="2"/>
  <c r="F19" i="2"/>
  <c r="AD18" i="2"/>
  <c r="AA18" i="2"/>
  <c r="X18" i="2"/>
  <c r="U18" i="2"/>
  <c r="R18" i="2"/>
  <c r="L18" i="2"/>
  <c r="F18" i="2"/>
  <c r="AJ17" i="2"/>
  <c r="AG17" i="2"/>
  <c r="AD17" i="2"/>
  <c r="AA17" i="2"/>
  <c r="X17" i="2"/>
  <c r="U17" i="2"/>
  <c r="R17" i="2"/>
  <c r="L17" i="2"/>
  <c r="F17" i="2"/>
  <c r="F16" i="2"/>
  <c r="AN15" i="2"/>
  <c r="AJ15" i="2"/>
  <c r="AG15" i="2"/>
  <c r="AD15" i="2"/>
  <c r="AA15" i="2"/>
  <c r="X15" i="2"/>
  <c r="U15" i="2"/>
  <c r="R15" i="2"/>
  <c r="L15" i="2"/>
  <c r="F15" i="2"/>
  <c r="AN12" i="2"/>
  <c r="AJ12" i="2"/>
  <c r="AG12" i="2"/>
  <c r="AD12" i="2"/>
  <c r="AA12" i="2"/>
  <c r="X12" i="2"/>
  <c r="U12" i="2"/>
  <c r="R12" i="2"/>
  <c r="O12" i="2"/>
  <c r="L12" i="2"/>
  <c r="I12" i="2"/>
  <c r="F12" i="2"/>
  <c r="AJ11" i="2"/>
  <c r="AG11" i="2"/>
  <c r="AD11" i="2"/>
  <c r="AA11" i="2"/>
  <c r="X11" i="2"/>
  <c r="U11" i="2"/>
  <c r="R11" i="2"/>
  <c r="L11" i="2"/>
  <c r="F11" i="2"/>
  <c r="AN10" i="2"/>
  <c r="AJ10" i="2"/>
  <c r="AD10" i="2"/>
  <c r="AA10" i="2"/>
  <c r="X10" i="2"/>
  <c r="U10" i="2"/>
  <c r="R10" i="2"/>
  <c r="L10" i="2"/>
  <c r="F10" i="2"/>
  <c r="AJ9" i="2"/>
  <c r="AG9" i="2"/>
  <c r="AD9" i="2"/>
  <c r="AA9" i="2"/>
  <c r="X9" i="2"/>
  <c r="U9" i="2"/>
  <c r="R9" i="2"/>
  <c r="L9" i="2"/>
  <c r="F9" i="2"/>
  <c r="AN8" i="2"/>
  <c r="AJ8" i="2"/>
  <c r="AG8" i="2"/>
  <c r="AD8" i="2"/>
  <c r="AA8" i="2"/>
  <c r="X8" i="2"/>
  <c r="U8" i="2"/>
  <c r="R8" i="2"/>
  <c r="L8" i="2"/>
  <c r="F8" i="2"/>
  <c r="AN7" i="2"/>
  <c r="AJ7" i="2"/>
  <c r="AG7" i="2"/>
  <c r="AD7" i="2"/>
  <c r="AA7" i="2"/>
  <c r="X7" i="2"/>
  <c r="U7" i="2"/>
  <c r="R7" i="2"/>
  <c r="L7" i="2"/>
  <c r="F7" i="2"/>
  <c r="D5" i="4"/>
  <c r="E4" i="4"/>
  <c r="H33" i="1"/>
  <c r="E16" i="4"/>
  <c r="E12" i="4"/>
  <c r="D70" i="11"/>
  <c r="K70" i="11"/>
  <c r="H35" i="1"/>
  <c r="J65" i="8"/>
  <c r="J60" i="8"/>
  <c r="J56" i="8"/>
  <c r="J44" i="8"/>
  <c r="J40" i="8"/>
  <c r="J30" i="8"/>
  <c r="J19" i="8"/>
  <c r="F68" i="8"/>
  <c r="L15" i="4"/>
  <c r="M15" i="4"/>
  <c r="O15" i="4"/>
  <c r="P15" i="4"/>
  <c r="G28" i="13"/>
  <c r="G3" i="13"/>
  <c r="G12" i="13"/>
  <c r="G9" i="13"/>
  <c r="G14" i="13"/>
  <c r="G19" i="13"/>
  <c r="O7" i="3"/>
  <c r="I7" i="3"/>
  <c r="J7" i="3"/>
  <c r="K7" i="3"/>
  <c r="L7" i="3"/>
  <c r="M7" i="3"/>
  <c r="N7" i="3"/>
  <c r="K3" i="3"/>
  <c r="N3" i="3"/>
  <c r="M3" i="3"/>
  <c r="L3" i="3"/>
  <c r="J3" i="3"/>
  <c r="G3" i="10"/>
  <c r="J3" i="10"/>
  <c r="E17" i="14"/>
  <c r="E18" i="14"/>
  <c r="E15" i="14"/>
  <c r="E10" i="14"/>
  <c r="E9" i="14"/>
  <c r="E8" i="14"/>
  <c r="E7" i="14"/>
  <c r="E6" i="14"/>
  <c r="F19" i="12"/>
  <c r="H10" i="1"/>
  <c r="H21" i="1"/>
  <c r="H22" i="1"/>
  <c r="E30" i="4"/>
  <c r="H38" i="1"/>
  <c r="H39" i="1"/>
  <c r="H42" i="1"/>
  <c r="E2" i="6"/>
  <c r="H58" i="1"/>
  <c r="E15" i="6"/>
  <c r="H62" i="1"/>
  <c r="H63" i="1"/>
  <c r="H65" i="1"/>
  <c r="E7" i="13"/>
  <c r="E3" i="13"/>
  <c r="F3" i="13"/>
  <c r="H3" i="13"/>
  <c r="I3" i="13"/>
  <c r="J3" i="13"/>
  <c r="K3" i="13"/>
  <c r="L3" i="13"/>
  <c r="M3" i="13"/>
  <c r="N3" i="13"/>
  <c r="O3" i="13"/>
  <c r="P3" i="13"/>
  <c r="R3" i="13"/>
  <c r="R8" i="13"/>
  <c r="H45" i="1"/>
  <c r="E9" i="13"/>
  <c r="F9" i="13"/>
  <c r="H9" i="13"/>
  <c r="I10" i="13"/>
  <c r="I12" i="13"/>
  <c r="I9" i="13"/>
  <c r="J9" i="13"/>
  <c r="K9" i="13"/>
  <c r="L12" i="13"/>
  <c r="L9" i="13"/>
  <c r="M12" i="13"/>
  <c r="M9" i="13"/>
  <c r="N12" i="13"/>
  <c r="N9" i="13"/>
  <c r="O12" i="13"/>
  <c r="O9" i="13"/>
  <c r="P9" i="13"/>
  <c r="R9" i="13"/>
  <c r="E14" i="13"/>
  <c r="F14" i="13"/>
  <c r="H14" i="13"/>
  <c r="I14" i="13"/>
  <c r="J14" i="13"/>
  <c r="K14" i="13"/>
  <c r="L16" i="13"/>
  <c r="L14" i="13"/>
  <c r="M14" i="13"/>
  <c r="N14" i="13"/>
  <c r="O14" i="13"/>
  <c r="P14" i="13"/>
  <c r="R14" i="13"/>
  <c r="H46" i="1"/>
  <c r="E19" i="13"/>
  <c r="F19" i="13"/>
  <c r="H19" i="13"/>
  <c r="I19" i="13"/>
  <c r="J19" i="13"/>
  <c r="K19" i="13"/>
  <c r="L19" i="13"/>
  <c r="M19" i="13"/>
  <c r="N19" i="13"/>
  <c r="O19" i="13"/>
  <c r="P19" i="13"/>
  <c r="R19" i="13"/>
  <c r="H47" i="1"/>
  <c r="E27" i="13"/>
  <c r="E28" i="13"/>
  <c r="H28" i="13"/>
  <c r="H23" i="13"/>
  <c r="I25" i="13"/>
  <c r="I28" i="13"/>
  <c r="I23" i="13"/>
  <c r="J28" i="13"/>
  <c r="J23" i="13"/>
  <c r="K28" i="13"/>
  <c r="K23" i="13"/>
  <c r="L25" i="13"/>
  <c r="L28" i="13"/>
  <c r="L23" i="13"/>
  <c r="M25" i="13"/>
  <c r="M28" i="13"/>
  <c r="N25" i="13"/>
  <c r="N28" i="13"/>
  <c r="N23" i="13"/>
  <c r="O28" i="13"/>
  <c r="O23" i="13"/>
  <c r="P28" i="13"/>
  <c r="P23" i="13"/>
  <c r="H48" i="1"/>
  <c r="H49" i="1"/>
  <c r="H28" i="1"/>
  <c r="H30" i="1"/>
  <c r="H67" i="1"/>
  <c r="H69" i="1"/>
  <c r="C4" i="3"/>
  <c r="C7" i="3"/>
  <c r="D4" i="3"/>
  <c r="D7" i="3"/>
  <c r="E4" i="3"/>
  <c r="E7" i="3"/>
  <c r="F4" i="3"/>
  <c r="F7" i="3"/>
  <c r="G4" i="3"/>
  <c r="G7" i="3"/>
  <c r="H7" i="3"/>
  <c r="E20" i="6"/>
  <c r="E10" i="12"/>
  <c r="F10" i="12"/>
  <c r="G10" i="12"/>
  <c r="H10" i="12"/>
  <c r="I10" i="12"/>
  <c r="J10" i="12"/>
  <c r="K10" i="12"/>
  <c r="L13" i="12"/>
  <c r="L10" i="12"/>
  <c r="M12" i="12"/>
  <c r="N11" i="12"/>
  <c r="N13" i="12"/>
  <c r="N10" i="12"/>
  <c r="O10" i="12"/>
  <c r="P10" i="12"/>
  <c r="E19" i="12"/>
  <c r="F20" i="12"/>
  <c r="F23" i="12"/>
  <c r="H20" i="12"/>
  <c r="H19" i="12"/>
  <c r="J20" i="12"/>
  <c r="J19" i="12"/>
  <c r="K19" i="12"/>
  <c r="L19" i="12"/>
  <c r="N19" i="12"/>
  <c r="O19" i="12"/>
  <c r="P22" i="12"/>
  <c r="E5" i="12"/>
  <c r="E4" i="12"/>
  <c r="F5" i="12"/>
  <c r="F4" i="12"/>
  <c r="G4" i="12"/>
  <c r="H4" i="12"/>
  <c r="I4" i="12"/>
  <c r="J4" i="12"/>
  <c r="K4" i="12"/>
  <c r="L5" i="12"/>
  <c r="L4" i="12"/>
  <c r="M4" i="12"/>
  <c r="N6" i="12"/>
  <c r="N4" i="12"/>
  <c r="P5" i="12"/>
  <c r="P4" i="12"/>
  <c r="D6" i="14"/>
  <c r="F6" i="14"/>
  <c r="D7" i="14"/>
  <c r="F7" i="14"/>
  <c r="D8" i="14"/>
  <c r="F8" i="14"/>
  <c r="D9" i="14"/>
  <c r="F9" i="14"/>
  <c r="D10" i="14"/>
  <c r="F10" i="14"/>
  <c r="E11" i="14"/>
  <c r="D11" i="14"/>
  <c r="F11" i="14"/>
  <c r="E12" i="14"/>
  <c r="D12" i="14"/>
  <c r="F12" i="14"/>
  <c r="E13" i="14"/>
  <c r="D13" i="14"/>
  <c r="F13" i="14"/>
  <c r="E14" i="14"/>
  <c r="D14" i="14"/>
  <c r="F14" i="14"/>
  <c r="D15" i="14"/>
  <c r="F15" i="14"/>
  <c r="E16" i="14"/>
  <c r="D16" i="14"/>
  <c r="F16" i="14"/>
  <c r="D17" i="14"/>
  <c r="F17" i="14"/>
  <c r="E21" i="14"/>
  <c r="D18" i="14"/>
  <c r="F18" i="14"/>
  <c r="D19" i="14"/>
  <c r="D21" i="14"/>
  <c r="F19" i="14"/>
  <c r="C19" i="14"/>
  <c r="B16" i="14"/>
  <c r="B17" i="14"/>
  <c r="B18" i="14"/>
  <c r="B9" i="14"/>
  <c r="B10" i="14"/>
  <c r="B11" i="14"/>
  <c r="B12" i="14"/>
  <c r="B13" i="14"/>
  <c r="B14" i="14"/>
  <c r="H31" i="13"/>
  <c r="I31" i="13"/>
  <c r="J31" i="13"/>
  <c r="K31" i="13"/>
  <c r="L31" i="13"/>
  <c r="N31" i="13"/>
  <c r="O31" i="13"/>
  <c r="P31" i="13"/>
  <c r="E27" i="12"/>
  <c r="F27" i="12"/>
  <c r="G27" i="12"/>
  <c r="H27" i="12"/>
  <c r="I27" i="12"/>
  <c r="J27" i="12"/>
  <c r="K27" i="12"/>
  <c r="L27" i="12"/>
  <c r="M27" i="12"/>
  <c r="N27" i="12"/>
  <c r="O27" i="12"/>
  <c r="P27" i="12"/>
  <c r="E29" i="12"/>
  <c r="J70" i="11"/>
  <c r="E70" i="11"/>
  <c r="G70" i="11"/>
  <c r="G21" i="1"/>
  <c r="G10" i="1"/>
  <c r="G65" i="1"/>
  <c r="G55" i="1"/>
  <c r="G67" i="1"/>
  <c r="G22" i="1"/>
  <c r="G69" i="1"/>
  <c r="K66" i="8"/>
  <c r="G40" i="10"/>
  <c r="J40" i="10"/>
  <c r="G38" i="10"/>
  <c r="G32" i="10"/>
  <c r="J32" i="10"/>
</calcChain>
</file>

<file path=xl/comments1.xml><?xml version="1.0" encoding="utf-8"?>
<comments xmlns="http://schemas.openxmlformats.org/spreadsheetml/2006/main">
  <authors>
    <author>Carly Thornberry</author>
    <author>Jeff Bina</author>
  </authors>
  <commentList>
    <comment ref="E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Post-Open Rehearsal reception in office; Misc coffee dates</t>
        </r>
      </text>
    </comment>
    <comment ref="F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Season Preview desserts/coffee; Misc. coffee dates</t>
        </r>
      </text>
    </comment>
    <comment ref="L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Misc. donor meeting; R&amp;J Preview food</t>
        </r>
      </text>
    </comment>
    <comment ref="M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Misc. coffee dates, food for R&amp;J preview night</t>
        </r>
      </text>
    </comment>
    <comment ref="N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Misc. coffee dates</t>
        </r>
      </text>
    </comment>
    <comment ref="O5" authorId="0">
      <text>
        <r>
          <rPr>
            <b/>
            <sz val="9"/>
            <color indexed="81"/>
            <rFont val="Calibri"/>
            <family val="2"/>
          </rPr>
          <t xml:space="preserve">Carly Thornberry:
</t>
        </r>
        <r>
          <rPr>
            <sz val="9"/>
            <color indexed="81"/>
            <rFont val="Calibri"/>
            <family val="2"/>
          </rPr>
          <t>Board Night at Covers, misc coffee dates</t>
        </r>
      </text>
    </comment>
    <comment ref="P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Misc. coffee dates</t>
        </r>
      </text>
    </comment>
    <comment ref="E6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Season preview invites</t>
        </r>
      </text>
    </comment>
    <comment ref="N6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Board night evites</t>
        </r>
      </text>
    </comment>
    <comment ref="L8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R&amp;J Preview materials/programs</t>
        </r>
      </text>
    </comment>
    <comment ref="F9" authorId="0">
      <text>
        <r>
          <rPr>
            <b/>
            <sz val="9"/>
            <color indexed="81"/>
            <rFont val="Calibri"/>
            <family val="2"/>
          </rPr>
          <t xml:space="preserve">Carly Thornberry:
</t>
        </r>
        <r>
          <rPr>
            <sz val="9"/>
            <color indexed="81"/>
            <rFont val="Calibri"/>
            <family val="2"/>
          </rPr>
          <t>Open Book rental (season preview)</t>
        </r>
      </text>
    </comment>
    <comment ref="E1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Rental deposit</t>
        </r>
      </text>
    </comment>
    <comment ref="L1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Rental balance</t>
        </r>
      </text>
    </comment>
    <comment ref="N1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Sound/Lights, Piano Rental, extra lighting from ARIA</t>
        </r>
      </text>
    </comment>
    <comment ref="G1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Idol web slide and save the date PDF/program book page</t>
        </r>
      </text>
    </comment>
    <comment ref="K1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Idol order form for last year's attendees</t>
        </r>
      </text>
    </comment>
    <comment ref="M1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Production mtg with hosts and auctioneer</t>
        </r>
      </text>
    </comment>
    <comment ref="N1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Catering; Sponsor drinks</t>
        </r>
      </text>
    </comment>
    <comment ref="L13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Order form design, webslide design</t>
        </r>
      </text>
    </comment>
    <comment ref="M13" authorId="1">
      <text>
        <r>
          <rPr>
            <b/>
            <sz val="9"/>
            <color indexed="81"/>
            <rFont val="Calibri"/>
            <family val="2"/>
          </rPr>
          <t>Jeff Bina:</t>
        </r>
        <r>
          <rPr>
            <sz val="9"/>
            <color indexed="81"/>
            <rFont val="Calibri"/>
            <family val="2"/>
          </rPr>
          <t xml:space="preserve">
Cantus Idol program design</t>
        </r>
      </text>
    </comment>
    <comment ref="N13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Stage Manager, Hosts; Auctioneer</t>
        </r>
      </text>
    </comment>
    <comment ref="K1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Invite mailing</t>
        </r>
      </text>
    </comment>
    <comment ref="L16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Invitations (majorly reduced rate from 114ink in 2016)</t>
        </r>
      </text>
    </comment>
    <comment ref="N16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Programs (majorly reduced rate from 114ink in 2016)</t>
        </r>
      </text>
    </comment>
    <comment ref="M18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Facebook ads</t>
        </r>
      </text>
    </comment>
    <comment ref="N18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Cantus pens, ARIA security, remaining balance for parking lot, CC processing fees</t>
        </r>
      </text>
    </comment>
    <comment ref="O18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10th (wo)Man Dinner</t>
        </r>
      </text>
    </comment>
    <comment ref="P18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Dinner with Cantus food</t>
        </r>
      </text>
    </comment>
    <comment ref="F20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Meet Cantus; Annual Report; Sponsor packet design (Christmas/Idol)?; Sustaining donor season posters; Cantus folders for foundations/corporatations</t>
        </r>
      </text>
    </comment>
    <comment ref="H20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MN Giving Day web slide; General giving web slide</t>
        </r>
      </text>
    </comment>
    <comment ref="J20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R&amp;J Donor Ask packet?</t>
        </r>
      </text>
    </comment>
    <comment ref="O20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End of FY webslide</t>
        </r>
      </text>
    </comment>
    <comment ref="P20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End of FY postcard?</t>
        </r>
      </text>
    </comment>
    <comment ref="G21" authorId="1">
      <text>
        <r>
          <rPr>
            <b/>
            <sz val="9"/>
            <color indexed="81"/>
            <rFont val="Calibri"/>
            <family val="2"/>
          </rPr>
          <t>Jeff Bina:</t>
        </r>
        <r>
          <rPr>
            <sz val="9"/>
            <color indexed="81"/>
            <rFont val="Calibri"/>
            <family val="2"/>
          </rPr>
          <t xml:space="preserve">
Street Fleet estimate</t>
        </r>
      </text>
    </comment>
    <comment ref="H2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DM #1: Post-Thanksgiving (QTY: 5,000)</t>
        </r>
      </text>
    </comment>
    <comment ref="I2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DM #2: End of year (QTY: 5,000); Street Fleet estimate</t>
        </r>
      </text>
    </comment>
    <comment ref="M2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DM #3: Education or Access (QTY: 5,000); Street Fleet estimate</t>
        </r>
      </text>
    </comment>
    <comment ref="O2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DM #4: End of FY (QTY: 5,000)</t>
        </r>
      </text>
    </comment>
    <comment ref="P2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End of FY postcard mailing? (QTY: 5,000); Street Fleet estimate</t>
        </r>
      </text>
    </comment>
    <comment ref="P2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End of FY postcard mailing</t>
        </r>
      </text>
    </comment>
    <comment ref="F23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Meet Cantus brochures; 100 annual reports?; Sustaining donor season posters; Cantus folders for grants/proposals</t>
        </r>
      </text>
    </comment>
    <comment ref="P23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End of FY postcard?(QTY: 5,000)</t>
        </r>
      </text>
    </comment>
    <comment ref="G26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Facebook ads to push fundraising, MN Giving Day, end of year</t>
        </r>
      </text>
    </comment>
    <comment ref="M26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Facebook ads to push education/fundraising</t>
        </r>
      </text>
    </comment>
  </commentList>
</comments>
</file>

<file path=xl/comments2.xml><?xml version="1.0" encoding="utf-8"?>
<comments xmlns="http://schemas.openxmlformats.org/spreadsheetml/2006/main">
  <authors>
    <author>Carly Thornberry</author>
    <author>Jeff Bina</author>
  </authors>
  <commentList>
    <comment ref="E4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1617 Order form and webslide</t>
        </r>
      </text>
    </comment>
    <comment ref="F4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1617 Season Brochure and images</t>
        </r>
      </text>
    </comment>
    <comment ref="E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1617 July season mailing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Brochure drop #1</t>
        </r>
      </text>
    </comment>
    <comment ref="H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Brochure drop #2</t>
        </r>
      </text>
    </comment>
    <comment ref="E6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1617 July season mailing</t>
        </r>
      </text>
    </comment>
    <comment ref="F6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Brochure drop #1</t>
        </r>
      </text>
    </comment>
    <comment ref="G6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Brochure drop #2</t>
        </r>
      </text>
    </comment>
    <comment ref="E7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1617  July season mailing letter</t>
        </r>
      </text>
    </comment>
    <comment ref="G7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1617 brochures</t>
        </r>
      </text>
    </comment>
    <comment ref="E8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1617 season order form</t>
        </r>
      </text>
    </comment>
    <comment ref="F10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MPR: Cantus/Chanticleer </t>
        </r>
      </text>
    </comment>
    <comment ref="G10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MPR: No Greater Love Than This (12 radio spots)</t>
        </r>
      </text>
    </comment>
    <comment ref="I10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MPR: Thanksgiving with Cantus; Christmas with Cantus (12 Christmas spots; 3 Thanksgiving spots)</t>
        </r>
      </text>
    </comment>
    <comment ref="M10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MPR: Spring program</t>
        </r>
      </text>
    </comment>
    <comment ref="G1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MPR: No Greater Love Than This (web ad and MPR News Update Email), Facebook ad for Fall show</t>
        </r>
      </text>
    </comment>
    <comment ref="I1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MPR: Christmas with Cantus (web ad), Facebook ad for Christmas</t>
        </r>
      </text>
    </comment>
    <comment ref="M1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MPR Spring Program (web ad), April download, Idol posts</t>
        </r>
      </text>
    </comment>
    <comment ref="N1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Covers posts</t>
        </r>
      </text>
    </comment>
    <comment ref="O12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June download, Covers posts, MPR Covers web ad</t>
        </r>
      </text>
    </comment>
    <comment ref="F13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Cantus/Chanticleer; Full season ads</t>
        </r>
      </text>
    </comment>
    <comment ref="F1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Cantus/Chanticleer postcard</t>
        </r>
      </text>
    </comment>
    <comment ref="G2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Possible lunch meeting with AAM</t>
        </r>
      </text>
    </comment>
    <comment ref="M21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Possible lunch meeting with AAM</t>
        </r>
      </text>
    </comment>
    <comment ref="E22" authorId="1">
      <text>
        <r>
          <rPr>
            <b/>
            <sz val="9"/>
            <color indexed="81"/>
            <rFont val="Calibri"/>
            <family val="2"/>
          </rPr>
          <t>Jeff Bina:</t>
        </r>
        <r>
          <rPr>
            <sz val="9"/>
            <color indexed="81"/>
            <rFont val="Calibri"/>
            <family val="2"/>
          </rPr>
          <t xml:space="preserve">
ILU Media expense for NGLTT video coming out of Prepaids</t>
        </r>
      </text>
    </comment>
    <comment ref="E2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Arts ink scheduling and project management; updating address on stationary; Heather editing images.</t>
        </r>
      </text>
    </comment>
    <comment ref="F2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Arts ink: AAM Touring program.</t>
        </r>
      </text>
    </comment>
    <comment ref="G2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Chanticleer program book; Fall program book; web slides for the fall.</t>
        </r>
      </text>
    </comment>
    <comment ref="I2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CWC program; web slides</t>
        </r>
      </text>
    </comment>
    <comment ref="L2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Spring web slides and posters</t>
        </r>
      </text>
    </comment>
    <comment ref="M2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Spring program book, Spring web slides and designs</t>
        </r>
      </text>
    </comment>
    <comment ref="N2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Lake Harriet webslide, other misc. webslides</t>
        </r>
      </text>
    </comment>
    <comment ref="O2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Covers program book</t>
        </r>
      </text>
    </comment>
    <comment ref="P25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random summer project</t>
        </r>
      </text>
    </comment>
    <comment ref="E26" authorId="0">
      <text>
        <r>
          <rPr>
            <b/>
            <sz val="9"/>
            <color indexed="81"/>
            <rFont val="Calibri"/>
            <family val="2"/>
          </rPr>
          <t>Jeff Bina:</t>
        </r>
        <r>
          <rPr>
            <sz val="9"/>
            <color indexed="81"/>
            <rFont val="Calibri"/>
            <family val="2"/>
          </rPr>
          <t xml:space="preserve">
Includes: Photo shoot, stylist, makeup, 2 new headshots, Heather photo shoot scout.</t>
        </r>
      </text>
    </comment>
    <comment ref="E27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Ticket stock, stationary</t>
        </r>
      </text>
    </comment>
    <comment ref="G27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Stationary with new address; Fall programs</t>
        </r>
      </text>
    </comment>
    <comment ref="I27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Christmas programs</t>
        </r>
      </text>
    </comment>
    <comment ref="M27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WYHM program books;</t>
        </r>
      </text>
    </comment>
    <comment ref="N27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Reorder stationary</t>
        </r>
      </text>
    </comment>
    <comment ref="O27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Covers programs</t>
        </r>
      </text>
    </comment>
    <comment ref="E28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Rebecca Davis retainer; Anne Ulseth retainer</t>
        </r>
      </text>
    </comment>
    <comment ref="G28" authorId="0">
      <text>
        <r>
          <rPr>
            <b/>
            <sz val="9"/>
            <color indexed="81"/>
            <rFont val="Calibri"/>
            <family val="2"/>
          </rPr>
          <t>Jeff Bina:</t>
        </r>
        <r>
          <rPr>
            <sz val="9"/>
            <color indexed="81"/>
            <rFont val="Calibri"/>
            <family val="2"/>
          </rPr>
          <t xml:space="preserve">
Rebecca's possible flight expenses removed from budget.</t>
        </r>
      </text>
    </comment>
    <comment ref="E29" authorId="0">
      <text>
        <r>
          <rPr>
            <b/>
            <sz val="9"/>
            <color indexed="81"/>
            <rFont val="Calibri"/>
            <family val="2"/>
          </rPr>
          <t>Carly Thornberry:</t>
        </r>
        <r>
          <rPr>
            <sz val="9"/>
            <color indexed="81"/>
            <rFont val="Calibri"/>
            <family val="2"/>
          </rPr>
          <t xml:space="preserve">
Fees to ArcStone?</t>
        </r>
      </text>
    </comment>
    <comment ref="F30" authorId="1">
      <text>
        <r>
          <rPr>
            <b/>
            <sz val="9"/>
            <color indexed="81"/>
            <rFont val="Calibri"/>
            <family val="2"/>
          </rPr>
          <t>Jeff Bina:</t>
        </r>
        <r>
          <rPr>
            <sz val="9"/>
            <color indexed="81"/>
            <rFont val="Calibri"/>
            <family val="2"/>
          </rPr>
          <t xml:space="preserve">
Chanticleer hospitality expenses (estimate)</t>
        </r>
      </text>
    </comment>
    <comment ref="G30" authorId="1">
      <text>
        <r>
          <rPr>
            <b/>
            <sz val="9"/>
            <color indexed="81"/>
            <rFont val="Calibri"/>
            <family val="2"/>
          </rPr>
          <t>Jeff Bina:</t>
        </r>
        <r>
          <rPr>
            <sz val="9"/>
            <color indexed="81"/>
            <rFont val="Calibri"/>
            <family val="2"/>
          </rPr>
          <t xml:space="preserve">
Chanticleer hospitality expenses (estimate)</t>
        </r>
      </text>
    </comment>
  </commentList>
</comments>
</file>

<file path=xl/sharedStrings.xml><?xml version="1.0" encoding="utf-8"?>
<sst xmlns="http://schemas.openxmlformats.org/spreadsheetml/2006/main" count="998" uniqueCount="613">
  <si>
    <t>REVENUE</t>
  </si>
  <si>
    <t>Earned Revenue</t>
  </si>
  <si>
    <t>Ticket Sales - Home Concerts</t>
  </si>
  <si>
    <t>Management Bookings</t>
  </si>
  <si>
    <t>Self Bookings</t>
  </si>
  <si>
    <t>Merchandise</t>
  </si>
  <si>
    <t>Investment Income</t>
  </si>
  <si>
    <t>Miscellaneous</t>
  </si>
  <si>
    <t>Total Earned Revenue</t>
  </si>
  <si>
    <t>Contributed Revenue</t>
  </si>
  <si>
    <t>Individual</t>
  </si>
  <si>
    <t>Cantus Idol</t>
  </si>
  <si>
    <t>Corporate</t>
  </si>
  <si>
    <t>Foundation</t>
  </si>
  <si>
    <t>Government</t>
  </si>
  <si>
    <t>In-kind</t>
  </si>
  <si>
    <t>Total Contributed Revenue</t>
  </si>
  <si>
    <t>TOTAL REVENUE</t>
  </si>
  <si>
    <t>EXPENSES</t>
  </si>
  <si>
    <t>Personnel</t>
  </si>
  <si>
    <t>Salaries</t>
  </si>
  <si>
    <t>Benefits</t>
  </si>
  <si>
    <t>Payroll Taxes</t>
  </si>
  <si>
    <t>Total Personnel</t>
  </si>
  <si>
    <t>Artistic</t>
  </si>
  <si>
    <t>Self Produced Concerts</t>
  </si>
  <si>
    <t>Management booked concerts</t>
  </si>
  <si>
    <t>Travel</t>
  </si>
  <si>
    <t>Commissioning</t>
  </si>
  <si>
    <t>Independent Contractors</t>
  </si>
  <si>
    <t>Education</t>
  </si>
  <si>
    <t>Community Outreach</t>
  </si>
  <si>
    <t>Artistic - General</t>
  </si>
  <si>
    <t>Total Artistic</t>
  </si>
  <si>
    <t>Marketing</t>
  </si>
  <si>
    <t>Season Tickets</t>
  </si>
  <si>
    <t>Single Tickets</t>
  </si>
  <si>
    <t>B2B</t>
  </si>
  <si>
    <t>Marketing - General</t>
  </si>
  <si>
    <t>Total Marketing</t>
  </si>
  <si>
    <t>Development</t>
  </si>
  <si>
    <t>Special Events</t>
  </si>
  <si>
    <t>Development - General</t>
  </si>
  <si>
    <t>Total Development</t>
  </si>
  <si>
    <t>Administration</t>
  </si>
  <si>
    <t>Financial/Service Charges</t>
  </si>
  <si>
    <t>Insurance</t>
  </si>
  <si>
    <t>Rent/Storage</t>
  </si>
  <si>
    <t>Postage/Printing</t>
  </si>
  <si>
    <t>Professional Services</t>
  </si>
  <si>
    <t>Supplies/Equipment</t>
  </si>
  <si>
    <t>Total Administration</t>
  </si>
  <si>
    <t>TOTAL EXPENSES</t>
  </si>
  <si>
    <t>NET INCOME</t>
  </si>
  <si>
    <t>R&amp;J expenses</t>
  </si>
  <si>
    <t>CWC</t>
  </si>
  <si>
    <t>Covers</t>
  </si>
  <si>
    <t>Special projects</t>
  </si>
  <si>
    <t>Attire</t>
  </si>
  <si>
    <t>Auditions</t>
  </si>
  <si>
    <t>Instruments</t>
  </si>
  <si>
    <t>Rehearsal Rental</t>
  </si>
  <si>
    <t>Sheet Music</t>
  </si>
  <si>
    <t>hall rental</t>
  </si>
  <si>
    <t>equip rental</t>
  </si>
  <si>
    <t>supplies</t>
  </si>
  <si>
    <t>misc</t>
  </si>
  <si>
    <t>FY17 ARTISTIC</t>
  </si>
  <si>
    <t>generally food for singers</t>
  </si>
  <si>
    <t>Actors</t>
  </si>
  <si>
    <t>Coaching</t>
  </si>
  <si>
    <t>Director</t>
  </si>
  <si>
    <t>Instrumentalists</t>
  </si>
  <si>
    <t>Recording Engineers</t>
  </si>
  <si>
    <t>Sound and Lights</t>
  </si>
  <si>
    <t>Stage Manager</t>
  </si>
  <si>
    <t>ticket stock</t>
  </si>
  <si>
    <t>Ordway</t>
  </si>
  <si>
    <t>Colonial</t>
  </si>
  <si>
    <t>SOTV</t>
  </si>
  <si>
    <t>MacPhail</t>
  </si>
  <si>
    <t>St. Thomas</t>
  </si>
  <si>
    <t>Trinity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</si>
  <si>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</si>
  <si>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</si>
  <si>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</si>
  <si>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</si>
  <si>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</si>
  <si>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</si>
  <si>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</si>
  <si>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</si>
  <si>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</si>
  <si>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</si>
  <si>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</si>
  <si>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</si>
  <si>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access</t>
  </si>
  <si>
    <t>BCBS</t>
  </si>
  <si>
    <t>Unum</t>
  </si>
  <si>
    <t>dental</t>
  </si>
  <si>
    <t>Jeff Beal commission</t>
  </si>
  <si>
    <t>CLA</t>
  </si>
  <si>
    <t>Audit</t>
  </si>
  <si>
    <t>bank service charges</t>
  </si>
  <si>
    <t>interest</t>
  </si>
  <si>
    <t>payroll processing</t>
  </si>
  <si>
    <t>ticketing fees</t>
  </si>
  <si>
    <t>NAF</t>
  </si>
  <si>
    <t>merchant account</t>
  </si>
  <si>
    <t>General Admin</t>
  </si>
  <si>
    <t>dues/subscrip</t>
  </si>
  <si>
    <t>hospitality</t>
  </si>
  <si>
    <t>meals</t>
  </si>
  <si>
    <t>travel</t>
  </si>
  <si>
    <t>Dues/subscriptions</t>
  </si>
  <si>
    <t>MCF</t>
  </si>
  <si>
    <t>survey monkey</t>
  </si>
  <si>
    <t>NovelAspect</t>
  </si>
  <si>
    <t>atVenu</t>
  </si>
  <si>
    <t>ACDA</t>
  </si>
  <si>
    <t>office supplies</t>
  </si>
  <si>
    <t>phone and internet</t>
  </si>
  <si>
    <t>x</t>
  </si>
  <si>
    <t>Chanticleer</t>
  </si>
  <si>
    <t>Misc</t>
  </si>
  <si>
    <t>TOTAL</t>
  </si>
  <si>
    <t>TBD</t>
  </si>
  <si>
    <t>DATE</t>
  </si>
  <si>
    <t>PRESENTER</t>
  </si>
  <si>
    <t>CITY</t>
  </si>
  <si>
    <t>STATE</t>
  </si>
  <si>
    <t xml:space="preserve"> accepted fee </t>
  </si>
  <si>
    <t xml:space="preserve"> possible fee </t>
  </si>
  <si>
    <t>hotel</t>
  </si>
  <si>
    <t>accepted</t>
  </si>
  <si>
    <t xml:space="preserve">October </t>
  </si>
  <si>
    <t>Florence OR</t>
  </si>
  <si>
    <t>1 night</t>
  </si>
  <si>
    <t>12.21.15</t>
  </si>
  <si>
    <t>Wartburg</t>
  </si>
  <si>
    <t>5.24.16</t>
  </si>
  <si>
    <t>Rowan University</t>
  </si>
  <si>
    <t>Glassboro</t>
  </si>
  <si>
    <t>NJ</t>
  </si>
  <si>
    <t>2 nights</t>
  </si>
  <si>
    <t>NYC Rockefeller</t>
  </si>
  <si>
    <t>New York</t>
  </si>
  <si>
    <t>NY</t>
  </si>
  <si>
    <t>no</t>
  </si>
  <si>
    <t>1.21.16</t>
  </si>
  <si>
    <t>Westerley</t>
  </si>
  <si>
    <t>RI</t>
  </si>
  <si>
    <t>no, home stays</t>
  </si>
  <si>
    <t>4.12.16</t>
  </si>
  <si>
    <t>Beacon Hill</t>
  </si>
  <si>
    <t>Strausburg</t>
  </si>
  <si>
    <t>PA</t>
  </si>
  <si>
    <t>5.16.16</t>
  </si>
  <si>
    <t xml:space="preserve">November </t>
  </si>
  <si>
    <t>Atlanta</t>
  </si>
  <si>
    <t>GA</t>
  </si>
  <si>
    <t>3.17.16</t>
  </si>
  <si>
    <t>Center for Arts</t>
  </si>
  <si>
    <t>Newnan</t>
  </si>
  <si>
    <t>yes</t>
  </si>
  <si>
    <t>11.9.15</t>
  </si>
  <si>
    <t>rec'd $7000 deposit on 1.14.16</t>
  </si>
  <si>
    <t>Keane University</t>
  </si>
  <si>
    <t xml:space="preserve">Hillside </t>
  </si>
  <si>
    <t>3.28.16</t>
  </si>
  <si>
    <t>Met Museum</t>
  </si>
  <si>
    <t>10 to 13</t>
  </si>
  <si>
    <t>San Antonio</t>
  </si>
  <si>
    <t>TX</t>
  </si>
  <si>
    <t>3.24.16</t>
  </si>
  <si>
    <t>Highland Park Pres</t>
  </si>
  <si>
    <t>Dallas</t>
  </si>
  <si>
    <t>12.9.15</t>
  </si>
  <si>
    <t xml:space="preserve">December </t>
  </si>
  <si>
    <t xml:space="preserve">Hesston </t>
  </si>
  <si>
    <t>KS</t>
  </si>
  <si>
    <t>9 rooms</t>
  </si>
  <si>
    <t>2.8.16</t>
  </si>
  <si>
    <t>confirmed date 3.23.16</t>
  </si>
  <si>
    <t>Grace Cathedral</t>
  </si>
  <si>
    <t>Topeka</t>
  </si>
  <si>
    <t>9 rooms at retreat center</t>
  </si>
  <si>
    <t>4.26.16</t>
  </si>
  <si>
    <t>box office share after expenses covered</t>
  </si>
  <si>
    <t>Shell Point Retirement</t>
  </si>
  <si>
    <t>Ft Myers</t>
  </si>
  <si>
    <t>FL</t>
  </si>
  <si>
    <t>11.16.15</t>
  </si>
  <si>
    <t>South Milwaukee PAC</t>
  </si>
  <si>
    <t>Milwaukee</t>
  </si>
  <si>
    <t>WI</t>
  </si>
  <si>
    <t>Sheldon</t>
  </si>
  <si>
    <t>Red Wing</t>
  </si>
  <si>
    <t>MN</t>
  </si>
  <si>
    <t>12.15.15</t>
  </si>
  <si>
    <t>WI ACDA</t>
  </si>
  <si>
    <t>Wausau</t>
  </si>
  <si>
    <t>3.1.17</t>
  </si>
  <si>
    <t>Colorado State</t>
  </si>
  <si>
    <t>Fort Collins</t>
  </si>
  <si>
    <t>CO</t>
  </si>
  <si>
    <t>4.4.16</t>
  </si>
  <si>
    <t>Church of Red Rocks</t>
  </si>
  <si>
    <t>Sedona</t>
  </si>
  <si>
    <t>AZ</t>
  </si>
  <si>
    <t>4.1.16</t>
  </si>
  <si>
    <t>Arizona MusicFest</t>
  </si>
  <si>
    <t>Phoenix</t>
  </si>
  <si>
    <t>non</t>
  </si>
  <si>
    <t>4.17.16</t>
  </si>
  <si>
    <t>8,9</t>
  </si>
  <si>
    <t>Yavapal College</t>
  </si>
  <si>
    <t>Prescott</t>
  </si>
  <si>
    <t>none</t>
  </si>
  <si>
    <t>Flagstaff</t>
  </si>
  <si>
    <t>St James by the Sea</t>
  </si>
  <si>
    <t>La Jolla</t>
  </si>
  <si>
    <t>CA</t>
  </si>
  <si>
    <t>15, 16</t>
  </si>
  <si>
    <t>Aurora U</t>
  </si>
  <si>
    <t xml:space="preserve">Aurora </t>
  </si>
  <si>
    <t>IA</t>
  </si>
  <si>
    <t>1.25.16</t>
  </si>
  <si>
    <t>University of Dubuque</t>
  </si>
  <si>
    <t>Dubuque</t>
  </si>
  <si>
    <t>yes 2 nights</t>
  </si>
  <si>
    <t>Orange City Arts Council</t>
  </si>
  <si>
    <t>Orange city</t>
  </si>
  <si>
    <t>4.13.16</t>
  </si>
  <si>
    <t>ACDA national</t>
  </si>
  <si>
    <t>5, 6</t>
  </si>
  <si>
    <t>Fort Myers</t>
  </si>
  <si>
    <t>plus hotel</t>
  </si>
  <si>
    <t>1.22.16</t>
  </si>
  <si>
    <t>Longwood Gardens</t>
  </si>
  <si>
    <t>Kennett Square</t>
  </si>
  <si>
    <t>4.8.16</t>
  </si>
  <si>
    <t>Rye Presbyterian</t>
  </si>
  <si>
    <t>Rye</t>
  </si>
  <si>
    <t>yst</t>
  </si>
  <si>
    <t>3.7.16</t>
  </si>
  <si>
    <t>New Britain</t>
  </si>
  <si>
    <t>CT</t>
  </si>
  <si>
    <t>1.28.16</t>
  </si>
  <si>
    <t>TOTAL POSSIBLE</t>
  </si>
  <si>
    <t>FY17 Budget</t>
  </si>
  <si>
    <t>Normandale Lutheran</t>
  </si>
  <si>
    <t xml:space="preserve">Bethlehem Lutheran </t>
  </si>
  <si>
    <t>Minneapolis</t>
  </si>
  <si>
    <t>Cantus/HSR concert</t>
  </si>
  <si>
    <t>see tab</t>
  </si>
  <si>
    <t>Westminster space</t>
  </si>
  <si>
    <t>FY17 Grant Requests</t>
  </si>
  <si>
    <t>Submitted/Deadline</t>
  </si>
  <si>
    <t>Decision</t>
  </si>
  <si>
    <t>Request</t>
  </si>
  <si>
    <t>Approved</t>
  </si>
  <si>
    <t>Budget</t>
  </si>
  <si>
    <t>%</t>
  </si>
  <si>
    <t>Foundation: Total</t>
  </si>
  <si>
    <t>A/B Walker</t>
  </si>
  <si>
    <t>NA</t>
  </si>
  <si>
    <t>Wenger</t>
  </si>
  <si>
    <t>gen op</t>
  </si>
  <si>
    <t>October 31</t>
  </si>
  <si>
    <t>TCOG</t>
  </si>
  <si>
    <t>education</t>
  </si>
  <si>
    <t>Driscoll Foundation</t>
  </si>
  <si>
    <t xml:space="preserve">Ann and Gordon Getty </t>
  </si>
  <si>
    <t>March 15</t>
  </si>
  <si>
    <t>Target Foundation</t>
  </si>
  <si>
    <t>January 31</t>
  </si>
  <si>
    <t>McKnight</t>
  </si>
  <si>
    <t>February 10</t>
  </si>
  <si>
    <t>F&amp;K Andersen Foundation</t>
  </si>
  <si>
    <t>March 1</t>
  </si>
  <si>
    <t>Heilmaier Foundation</t>
  </si>
  <si>
    <t xml:space="preserve">Athwin </t>
  </si>
  <si>
    <t>Boss Foundation</t>
  </si>
  <si>
    <t>June 1</t>
  </si>
  <si>
    <t>June 30</t>
  </si>
  <si>
    <t>www.kare11.com/life/community/gannett_foundation</t>
  </si>
  <si>
    <t>February 15</t>
  </si>
  <si>
    <t>Prospect Creek Foundation</t>
  </si>
  <si>
    <t>LOI anytime ($1000 likely)</t>
  </si>
  <si>
    <t>Knight</t>
  </si>
  <si>
    <t>Bremer Foundation</t>
  </si>
  <si>
    <t>regional touring; cultural competence</t>
  </si>
  <si>
    <t>Knox Foundation</t>
  </si>
  <si>
    <t>November 1</t>
  </si>
  <si>
    <t>RC Lilly</t>
  </si>
  <si>
    <t xml:space="preserve">Peter Kenefick, secretary </t>
  </si>
  <si>
    <t xml:space="preserve">(651) 466-8213 </t>
  </si>
  <si>
    <t>Carolyn foundation</t>
  </si>
  <si>
    <t>bremer</t>
  </si>
  <si>
    <t>Pohlad activity?</t>
  </si>
  <si>
    <t xml:space="preserve">Deluxe </t>
  </si>
  <si>
    <t>check in 2016</t>
  </si>
  <si>
    <t>January 1</t>
  </si>
  <si>
    <t>3/1-4/15</t>
  </si>
  <si>
    <t>LOI</t>
  </si>
  <si>
    <t>Government: Total</t>
  </si>
  <si>
    <t>MSAB: Access</t>
  </si>
  <si>
    <t>April 22 2016</t>
  </si>
  <si>
    <t>MSAB: Touring</t>
  </si>
  <si>
    <t>touring</t>
  </si>
  <si>
    <t>July 2016</t>
  </si>
  <si>
    <t>MSAB: Institutional</t>
  </si>
  <si>
    <t>gen op**</t>
  </si>
  <si>
    <t>January 23 for FY16</t>
  </si>
  <si>
    <t>July 10?</t>
  </si>
  <si>
    <t xml:space="preserve">  Wells Fargo regrant</t>
  </si>
  <si>
    <t>NEA - Cantus</t>
  </si>
  <si>
    <t>July 23/August 6</t>
  </si>
  <si>
    <t>One time opportunities</t>
  </si>
  <si>
    <t>Knight Foundation</t>
  </si>
  <si>
    <t>space</t>
  </si>
  <si>
    <t>July 2014</t>
  </si>
  <si>
    <t>August/October</t>
  </si>
  <si>
    <t>New Music USA</t>
  </si>
  <si>
    <t>Alexander commission</t>
  </si>
  <si>
    <t>October 1</t>
  </si>
  <si>
    <t>end of December?</t>
  </si>
  <si>
    <t>Bush Foundation</t>
  </si>
  <si>
    <t>October 16</t>
  </si>
  <si>
    <t>Ann Stookey Fund</t>
  </si>
  <si>
    <t>4loves</t>
  </si>
  <si>
    <t>January 21</t>
  </si>
  <si>
    <t>CMA commission</t>
  </si>
  <si>
    <t>commission</t>
  </si>
  <si>
    <t>March 20</t>
  </si>
  <si>
    <t>Chorus America commision</t>
  </si>
  <si>
    <t>January 29</t>
  </si>
  <si>
    <t>US Artists Intl</t>
  </si>
  <si>
    <t>3 times/year</t>
  </si>
  <si>
    <t>VSA MN</t>
  </si>
  <si>
    <t>ADA</t>
  </si>
  <si>
    <t>tbd</t>
  </si>
  <si>
    <t>Kickstarter</t>
  </si>
  <si>
    <t>Arneson/donor</t>
  </si>
  <si>
    <t>Pohlad</t>
  </si>
  <si>
    <t>donor match</t>
  </si>
  <si>
    <t>February 24</t>
  </si>
  <si>
    <t>March 24</t>
  </si>
  <si>
    <t>Copland Fund</t>
  </si>
  <si>
    <t>notification in June 2016</t>
  </si>
  <si>
    <t xml:space="preserve">US Artists International </t>
  </si>
  <si>
    <t>for Choral Symposium</t>
  </si>
  <si>
    <t xml:space="preserve">Charles and Kathryn Cunningham Family Foundation </t>
  </si>
  <si>
    <t>July/August</t>
  </si>
  <si>
    <t>NOTES</t>
  </si>
  <si>
    <t>last year for application; they only fund organizations for 3 years</t>
  </si>
  <si>
    <t>HSR</t>
  </si>
  <si>
    <t>no application needed</t>
  </si>
  <si>
    <t>January 2016</t>
  </si>
  <si>
    <t>repeated request; no awards given</t>
  </si>
  <si>
    <t>Ordway through Knight Foundation</t>
  </si>
  <si>
    <t>any time</t>
  </si>
  <si>
    <t>for support of an Ordway concert</t>
  </si>
  <si>
    <t>Bridge fund</t>
  </si>
  <si>
    <t>see tab, no MSAB touring or access grants</t>
  </si>
  <si>
    <t>cash flow totals</t>
  </si>
  <si>
    <t>Notes</t>
  </si>
  <si>
    <t>Waverly IA</t>
  </si>
  <si>
    <t>gross potential of  $8,371</t>
  </si>
  <si>
    <t>Lakeville Area Arts</t>
  </si>
  <si>
    <t>Lakeville</t>
  </si>
  <si>
    <t>not needed</t>
  </si>
  <si>
    <t>6.1.16</t>
  </si>
  <si>
    <t>8 singers; 3 staff</t>
  </si>
  <si>
    <t>15% commission on concerts; 10% on education outreach</t>
  </si>
  <si>
    <t>grant dependent</t>
  </si>
  <si>
    <t>WCC</t>
  </si>
  <si>
    <t>CANTUS</t>
  </si>
  <si>
    <t>2016-2017 Home Season</t>
  </si>
  <si>
    <t>Budget Projection</t>
  </si>
  <si>
    <t>2016-2017</t>
  </si>
  <si>
    <t>2015-2016</t>
  </si>
  <si>
    <t>2014-2015</t>
  </si>
  <si>
    <t>2013-2014</t>
  </si>
  <si>
    <t>2012-2013</t>
  </si>
  <si>
    <t>2011-2012</t>
  </si>
  <si>
    <t>2010-2011</t>
  </si>
  <si>
    <t>Tickets Sold</t>
  </si>
  <si>
    <t>Avg Price</t>
  </si>
  <si>
    <t>Revenue</t>
  </si>
  <si>
    <t>Capacity</t>
  </si>
  <si>
    <t>% capacity</t>
  </si>
  <si>
    <t>Sold</t>
  </si>
  <si>
    <t>Rental</t>
  </si>
  <si>
    <t>Box Office</t>
  </si>
  <si>
    <t>Credit Card</t>
  </si>
  <si>
    <t>Food</t>
  </si>
  <si>
    <t>No Greater Love Than This</t>
  </si>
  <si>
    <t>The Four Loves</t>
  </si>
  <si>
    <t>Anthem</t>
  </si>
  <si>
    <t>APFU</t>
  </si>
  <si>
    <t>When Twilight Falls</t>
  </si>
  <si>
    <t>St. Bart's</t>
  </si>
  <si>
    <t>Total</t>
  </si>
  <si>
    <t>Christmas with Cantus</t>
  </si>
  <si>
    <t>Shepherd</t>
  </si>
  <si>
    <t>Westminster</t>
  </si>
  <si>
    <t>America Will Be!</t>
  </si>
  <si>
    <t>WYHM?</t>
  </si>
  <si>
    <t>TSR 2.0</t>
  </si>
  <si>
    <t>DGH</t>
  </si>
  <si>
    <t>META</t>
  </si>
  <si>
    <t>St. Bart's/Wayzata</t>
  </si>
  <si>
    <t>5 performances total</t>
  </si>
  <si>
    <t>SEASON TOTAL</t>
  </si>
  <si>
    <t>Previous year total</t>
  </si>
  <si>
    <t>Change</t>
  </si>
  <si>
    <t>Need to figure out fees to go into the expense side</t>
  </si>
  <si>
    <t>April 2017</t>
  </si>
  <si>
    <t>AIR</t>
  </si>
  <si>
    <t>GROUND</t>
  </si>
  <si>
    <t>HOTEL PROV</t>
  </si>
  <si>
    <t>HOTEL RESP</t>
  </si>
  <si>
    <t>CONTRACT</t>
  </si>
  <si>
    <t>TRAVEL DAYS</t>
  </si>
  <si>
    <t>PER DIEM ($51/day)</t>
  </si>
  <si>
    <t>Flights</t>
  </si>
  <si>
    <t>$200/leg</t>
  </si>
  <si>
    <t>Van rental</t>
  </si>
  <si>
    <t>$100/day</t>
  </si>
  <si>
    <t>Hotel</t>
  </si>
  <si>
    <t>$100/room/night</t>
  </si>
  <si>
    <t>Per diem</t>
  </si>
  <si>
    <t>$51/day</t>
  </si>
  <si>
    <t>Florence</t>
  </si>
  <si>
    <t>OR</t>
  </si>
  <si>
    <t>Stroudsburg</t>
  </si>
  <si>
    <t>IL</t>
  </si>
  <si>
    <t>HOME</t>
  </si>
  <si>
    <t>GRAND</t>
  </si>
  <si>
    <t xml:space="preserve">June </t>
  </si>
  <si>
    <t>Total by line item</t>
  </si>
  <si>
    <t>Donor Relations</t>
  </si>
  <si>
    <t>Food/Beverage</t>
  </si>
  <si>
    <t xml:space="preserve">Postage   </t>
  </si>
  <si>
    <t>Premiums</t>
  </si>
  <si>
    <t>Printing</t>
  </si>
  <si>
    <t>Equipment Rental</t>
  </si>
  <si>
    <t>Materials/Supplies</t>
  </si>
  <si>
    <t>Postage/Delivery</t>
  </si>
  <si>
    <t xml:space="preserve">Printing   </t>
  </si>
  <si>
    <t>Production Expenses</t>
  </si>
  <si>
    <t>Layout/Design</t>
  </si>
  <si>
    <t>Mailing services</t>
  </si>
  <si>
    <t>Supplies</t>
  </si>
  <si>
    <t>Writer/Editor</t>
  </si>
  <si>
    <t>Total Development by month</t>
  </si>
  <si>
    <t>TOTAL DEVELOPMENT</t>
  </si>
  <si>
    <t>Royalties (ASCAP, BMI)</t>
  </si>
  <si>
    <t>See Goinz Travel tab</t>
  </si>
  <si>
    <t>Interim ED (Aug-Dec)</t>
  </si>
  <si>
    <t>Season Tickets - Direct Mail</t>
  </si>
  <si>
    <t>Mail Processing</t>
  </si>
  <si>
    <t>Season Tickets - Printing Other</t>
  </si>
  <si>
    <t>Single Tickets - Advertising</t>
  </si>
  <si>
    <t>Broadcast</t>
  </si>
  <si>
    <t>Online</t>
  </si>
  <si>
    <t>Print</t>
  </si>
  <si>
    <t>Single Tickets - Direct Mail</t>
  </si>
  <si>
    <t>Alliance</t>
  </si>
  <si>
    <t>Email</t>
  </si>
  <si>
    <t>Graphic Designer</t>
  </si>
  <si>
    <t>Photographer</t>
  </si>
  <si>
    <t>Publicist</t>
  </si>
  <si>
    <t>Website</t>
  </si>
  <si>
    <t>Total Marketing by month</t>
  </si>
  <si>
    <t>TOTAL OVERALL</t>
  </si>
  <si>
    <t>CANTUS - LOAN PAYMENTS</t>
  </si>
  <si>
    <t>Nonprofit Assistance Fund</t>
  </si>
  <si>
    <t>Payment</t>
  </si>
  <si>
    <t>Principal</t>
  </si>
  <si>
    <t>Interest</t>
  </si>
  <si>
    <t>Balance</t>
  </si>
  <si>
    <t>GL Balance</t>
  </si>
  <si>
    <t>BALLOON</t>
  </si>
  <si>
    <t>NAF loan (interest only); credit card interest; et al.</t>
  </si>
  <si>
    <t>see NAF tab</t>
  </si>
  <si>
    <t>CLA, Audit, Interim ED</t>
  </si>
  <si>
    <t>8S, JB, JH</t>
  </si>
  <si>
    <t>8S, JB, JH, ED</t>
  </si>
  <si>
    <t>Presume new ED starts in Jan at roughly same cost as ML</t>
  </si>
  <si>
    <t>New ED in Jan '17</t>
  </si>
  <si>
    <t>8 singers, JB, JH</t>
  </si>
  <si>
    <t>per CT</t>
  </si>
  <si>
    <t>*Includes:</t>
  </si>
  <si>
    <t>Facility rental</t>
  </si>
  <si>
    <t>Box office usage fee</t>
  </si>
  <si>
    <t>Est. union labor</t>
  </si>
  <si>
    <t>Est. usher/FOH labor</t>
  </si>
  <si>
    <t>Fall</t>
  </si>
  <si>
    <t>Spring</t>
  </si>
  <si>
    <t>**Includes:</t>
  </si>
  <si>
    <t>Richard Clarke</t>
  </si>
  <si>
    <t>***Includes:</t>
  </si>
  <si>
    <t>Orchestra Hall*</t>
  </si>
  <si>
    <t>Facility rental fee</t>
  </si>
  <si>
    <t>FOH staff &amp; stage crew</t>
  </si>
  <si>
    <t>Box office setup fee</t>
  </si>
  <si>
    <t>Audio record fee</t>
  </si>
  <si>
    <t>Covers: 3 x $2250</t>
  </si>
  <si>
    <t>Preston for NGLTT &amp; AWB</t>
  </si>
  <si>
    <t>Videographer</t>
  </si>
  <si>
    <t>Chanticleer Fee</t>
  </si>
  <si>
    <t>see box</t>
  </si>
  <si>
    <t>Hired sound engineer for Covers</t>
  </si>
  <si>
    <t>No Access Grant awarded for FY17</t>
  </si>
  <si>
    <t>General Education</t>
  </si>
  <si>
    <t>HSR Program</t>
  </si>
  <si>
    <t>T-shirts, hall rental, food, programs, accompanist, etc.</t>
  </si>
  <si>
    <t>Master Classes</t>
  </si>
  <si>
    <t>Hall Rental</t>
  </si>
  <si>
    <t>see Travel tab</t>
  </si>
  <si>
    <t>Credit card debt</t>
  </si>
  <si>
    <t>Ordway***</t>
  </si>
  <si>
    <t>Cowles**</t>
  </si>
  <si>
    <t>Box Office &amp; FOH</t>
  </si>
  <si>
    <t>Building Attendent</t>
  </si>
  <si>
    <t>Custodial</t>
  </si>
  <si>
    <t>Piano tuning; crew meal; supplies</t>
  </si>
  <si>
    <t>includes Chanticleer fee</t>
  </si>
  <si>
    <t>Video</t>
  </si>
  <si>
    <t>includes ILU Media's NGLTT video</t>
  </si>
  <si>
    <t>depreciation</t>
  </si>
  <si>
    <t>Culligan; Iron Mountain</t>
  </si>
  <si>
    <t>Comcast; Verizon</t>
  </si>
  <si>
    <t>New York Times</t>
  </si>
  <si>
    <t>For these venues, do we recognize $30 in single ticket revenue and $4 in ticketing fees or just $26 in singe ticket revenue?</t>
  </si>
  <si>
    <t>ADP fees</t>
  </si>
  <si>
    <t>COGS</t>
  </si>
  <si>
    <t>Consignment</t>
  </si>
  <si>
    <t>Amazon</t>
  </si>
  <si>
    <t>Hall Cut</t>
  </si>
  <si>
    <t>Mechanical Rights</t>
  </si>
  <si>
    <t>Paypal or Square Fees</t>
  </si>
  <si>
    <t>Promotion</t>
  </si>
  <si>
    <t>Sales Tax</t>
  </si>
  <si>
    <t>Shipping</t>
  </si>
  <si>
    <t>Estimate based on past years</t>
  </si>
  <si>
    <t>Bremer fees</t>
  </si>
  <si>
    <t>ILU Media's NGLTT video moves to B2B; Bill Hickey's expense is for FY18 (DOS)</t>
  </si>
  <si>
    <t>Chuck Comment's Questions</t>
  </si>
  <si>
    <t>Assumption: Benefits stay as they currently are - no changes; no reinstatement of 403(b) match; no family coverage (if an employee</t>
  </si>
  <si>
    <t xml:space="preserve">  wants family coverage, they would pay 100% of the premium)</t>
  </si>
  <si>
    <t>Possible Cut: Singer stipends (august - november) - would decrease budget by $21,200 + $1,696 in payroll taxes</t>
  </si>
  <si>
    <t>Chuck's Questions/Comments</t>
  </si>
  <si>
    <t xml:space="preserve"> - Do we reasonably think we can budget for any additional bookings in FY16/17. The bookings listed above are all confirmed, correct?</t>
  </si>
  <si>
    <t>Chuck Questions - Comments</t>
  </si>
  <si>
    <t xml:space="preserve"> - What is "broadcast" expense under single tickets? Are we buying air time?</t>
  </si>
  <si>
    <t xml:space="preserve"> - What is "online" expense under single tickets?</t>
  </si>
  <si>
    <t>Cantus AAM bookings 16/17</t>
  </si>
  <si>
    <t xml:space="preserve"> - Possible cut Rebecca currently budgeted at $1,250/month = $15K savings</t>
  </si>
  <si>
    <t xml:space="preserve"> </t>
  </si>
  <si>
    <t>Possible R&amp;J expenses</t>
  </si>
  <si>
    <t>TSA pre-check</t>
  </si>
  <si>
    <t>Also includes Chanticleer promotion expenses</t>
  </si>
  <si>
    <t>All is Calm royalties + Arts ink ad sales (Additional ad sales opportunity for Arts ink with Chanticleer concert)</t>
  </si>
  <si>
    <t>March (3% Inc.)</t>
  </si>
  <si>
    <t>April (3% Inc.)</t>
  </si>
  <si>
    <t>May (3% Inc.)</t>
  </si>
  <si>
    <t>June (3% Inc.)</t>
  </si>
  <si>
    <t>July (3% Inc.)</t>
  </si>
  <si>
    <t>New ED in Jan '17;  Added 3% increase on Health for March - July</t>
  </si>
  <si>
    <t>see tab (bugeting flat)</t>
  </si>
  <si>
    <t>Cantus/Chanticleer</t>
  </si>
  <si>
    <t>Should reinstate higher price, with quantity deals &amp; Need to talk to eOne about release date and quantity of free discs</t>
  </si>
  <si>
    <t>Seeking two $10,000 sponsorships.  One identified; one in the works</t>
  </si>
  <si>
    <t>Opportunity for Romeo &amp; Juliet donations</t>
  </si>
  <si>
    <t>Costs tied to CD sales</t>
  </si>
  <si>
    <t>Includes Chanticleer Marketing &amp; Hospitality Expenses</t>
  </si>
  <si>
    <t>prof development</t>
  </si>
  <si>
    <t>MCF removed from Dues expenses. Chuck to share his MCF login with Carly</t>
  </si>
  <si>
    <t>Christopher Owen (3 shows) + additional coach for NGLTT</t>
  </si>
  <si>
    <t>Could be less if no mvmt coach for NGLTT</t>
  </si>
  <si>
    <t>Possible AV for AWB; Covers audio equip rental</t>
  </si>
  <si>
    <t>8 or 11</t>
  </si>
  <si>
    <t>`</t>
  </si>
  <si>
    <t>North Metro Venue</t>
  </si>
  <si>
    <t>Ordway tix fees; Cowles tix fees; PatronTech Fees</t>
  </si>
  <si>
    <t>PatronTech CC processing fees; Cowles CC commission</t>
  </si>
  <si>
    <t>TBD North Metro Venue</t>
  </si>
  <si>
    <t>Outstanding NewMusic USA application, need to check if they're okay with the changed R&amp;J schedule - Did not receive (160706)</t>
  </si>
  <si>
    <t>Karna (Spring AWB for $750), Grogan (Covers for $1500); No Karna for NGLTT and CWC</t>
  </si>
  <si>
    <t>Dropbox</t>
  </si>
  <si>
    <t>Soundcloud</t>
  </si>
  <si>
    <t>Chorus America</t>
  </si>
  <si>
    <t>Weebly</t>
  </si>
  <si>
    <t>see tab   Chanticleer @ 85%;  $126k possible</t>
  </si>
  <si>
    <t>through Kristen Driscoll</t>
  </si>
  <si>
    <t>Includes Orch Hall rental plus two more CWC rentals</t>
  </si>
  <si>
    <t>New ED search costs</t>
  </si>
  <si>
    <t>Chamber Music America</t>
  </si>
  <si>
    <t>MN Citizens for the Arts</t>
  </si>
  <si>
    <t>MN Council of Nonprofits</t>
  </si>
  <si>
    <t>For Consideration</t>
  </si>
  <si>
    <t>$300 + $1,106 plug number to get to balanced budget</t>
  </si>
  <si>
    <t>Edina</t>
  </si>
  <si>
    <t>August 2016</t>
  </si>
  <si>
    <t>June 2015</t>
  </si>
  <si>
    <t>February 2016</t>
  </si>
  <si>
    <t>May 2016</t>
  </si>
  <si>
    <t>Cantus Self-Bookings 16/17</t>
  </si>
  <si>
    <t>FY16 Actuals (7/31)</t>
  </si>
  <si>
    <t>FY16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</si>
</sst>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(&quot;$&quot;* #,##0_);_(&quot;$&quot;* \(#,##0\);_(&quot;$&quot;* &quot;-&quot;??_);_(@_)"/>
    <numFmt numFmtId="167" formatCode="_-&quot;$&quot;* #,##0_-;\-&quot;$&quot;* #,##0_-;_-&quot;$&quot;* &quot;-&quot;??_-;_-@_-"/>
    <numFmt numFmtId="168" formatCode="[$-409]dd\-mmm\-yy;@"/>
    <numFmt numFmtId="169" formatCode="[$-409]mmmm\ d\,\ yyyy;@"/>
    <numFmt numFmtId="170" formatCode="0.0000%"/>
    <numFmt numFmtId="171" formatCode="_(&quot;$&quot;* #,##0.0000_);_(&quot;$&quot;* \(#,##0.0000\);_(&quot;$&quot;* &quot;-&quot;??_);_(@_)"/>
    <numFmt numFmtId="172" formatCode="_(* #,##0_);_(* \(#,##0\);_(* &quot;-&quot;??_);_(@_)"/>
    <numFmt numFmtId="173" formatCode="_-* #,##0_-;\-* #,##0_-;_-* &quot;-&quot;??_-;_-@_-"/>
    <numFmt numFmtId="174" formatCode="mm/dd/yy;@"/>
    <numFmt numFmtId="175" formatCode="&quot;$&quot;#,##0"/>
  </numFmts>
  <fonts count="51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</font>
    <font>
      <b/>
      <sz val="11"/>
      <color rgb="FF000000"/>
      <name val="Arial"/>
    </font>
    <font>
      <b/>
      <sz val="11"/>
      <name val="Arial"/>
    </font>
    <font>
      <sz val="11"/>
      <name val="Arial"/>
    </font>
    <font>
      <sz val="11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sz val="12"/>
      <color theme="1"/>
      <name val="Arial"/>
    </font>
    <font>
      <sz val="11"/>
      <color indexed="8"/>
      <name val="Calibri"/>
    </font>
    <font>
      <strike/>
      <sz val="12"/>
      <color theme="1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trike/>
      <sz val="12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</font>
    <font>
      <i/>
      <sz val="11"/>
      <color theme="1"/>
      <name val="Arial"/>
    </font>
    <font>
      <sz val="12"/>
      <color theme="0" tint="-0.499984740745262"/>
      <name val="Calibri"/>
      <scheme val="minor"/>
    </font>
    <font>
      <i/>
      <sz val="11"/>
      <color rgb="FF000000"/>
      <name val="Arial"/>
    </font>
    <font>
      <sz val="12"/>
      <color rgb="FF000000"/>
      <name val="Arial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</font>
    <font>
      <sz val="12"/>
      <color indexed="8"/>
      <name val="Calibri"/>
    </font>
    <font>
      <b/>
      <sz val="12"/>
      <color indexed="8"/>
      <name val="Calibri"/>
    </font>
    <font>
      <sz val="12"/>
      <color theme="1"/>
      <name val="Calibri"/>
    </font>
    <font>
      <b/>
      <sz val="10"/>
      <color theme="1"/>
      <name val="Arial"/>
    </font>
    <font>
      <strike/>
      <sz val="12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color indexed="8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1"/>
      <color theme="1"/>
      <name val="Arial"/>
    </font>
    <font>
      <u/>
      <sz val="12"/>
      <color theme="1"/>
      <name val="Calibri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trike/>
      <sz val="12"/>
      <name val="Calibri"/>
      <family val="2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18C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336">
    <xf numFmtId="0" fontId="0" fillId="0" borderId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6">
    <xf numFmtId="0" fontId="0" fillId="0" borderId="0" xfId="0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168" fontId="20" fillId="0" borderId="9" xfId="0" applyNumberFormat="1" applyFont="1" applyBorder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42" fontId="20" fillId="0" borderId="9" xfId="0" applyNumberFormat="1" applyFont="1" applyBorder="1" applyAlignment="1">
      <alignment horizontal="center"/>
    </xf>
    <xf numFmtId="0" fontId="23" fillId="4" borderId="11" xfId="0" applyFont="1" applyFill="1" applyBorder="1" applyAlignment="1">
      <alignment horizontal="left"/>
    </xf>
    <xf numFmtId="0" fontId="19" fillId="0" borderId="0" xfId="0" applyFont="1" applyFill="1" applyAlignment="1"/>
    <xf numFmtId="49" fontId="19" fillId="0" borderId="0" xfId="0" applyNumberFormat="1" applyFont="1" applyFill="1" applyAlignment="1"/>
    <xf numFmtId="166" fontId="19" fillId="0" borderId="0" xfId="0" applyNumberFormat="1" applyFont="1" applyFill="1" applyBorder="1" applyAlignment="1"/>
    <xf numFmtId="10" fontId="19" fillId="0" borderId="0" xfId="39" applyNumberFormat="1" applyFont="1" applyFill="1" applyBorder="1" applyAlignment="1">
      <alignment horizontal="center"/>
    </xf>
    <xf numFmtId="166" fontId="19" fillId="0" borderId="0" xfId="0" applyNumberFormat="1" applyFont="1" applyFill="1" applyAlignment="1"/>
    <xf numFmtId="10" fontId="19" fillId="0" borderId="0" xfId="39" applyNumberFormat="1" applyFont="1" applyFill="1" applyAlignment="1">
      <alignment horizontal="center"/>
    </xf>
    <xf numFmtId="166" fontId="19" fillId="0" borderId="0" xfId="1" applyNumberFormat="1" applyFont="1" applyFill="1" applyAlignment="1"/>
    <xf numFmtId="170" fontId="19" fillId="0" borderId="0" xfId="39" applyNumberFormat="1" applyFont="1" applyFill="1" applyAlignment="1">
      <alignment horizontal="center"/>
    </xf>
    <xf numFmtId="168" fontId="20" fillId="0" borderId="9" xfId="0" applyNumberFormat="1" applyFont="1" applyFill="1" applyBorder="1" applyAlignment="1">
      <alignment horizontal="left"/>
    </xf>
    <xf numFmtId="0" fontId="2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42" fontId="20" fillId="0" borderId="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9" fontId="29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165" fontId="31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9" fontId="31" fillId="0" borderId="0" xfId="0" applyNumberFormat="1" applyFont="1" applyFill="1" applyBorder="1" applyAlignment="1">
      <alignment horizontal="center"/>
    </xf>
    <xf numFmtId="44" fontId="29" fillId="0" borderId="0" xfId="18" applyFont="1" applyBorder="1" applyAlignment="1">
      <alignment horizontal="center"/>
    </xf>
    <xf numFmtId="166" fontId="29" fillId="0" borderId="0" xfId="125" applyNumberFormat="1" applyFont="1" applyBorder="1" applyAlignment="1">
      <alignment horizontal="center"/>
    </xf>
    <xf numFmtId="9" fontId="29" fillId="0" borderId="0" xfId="126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6" fontId="29" fillId="0" borderId="0" xfId="18" applyNumberFormat="1" applyFont="1" applyFill="1" applyBorder="1" applyAlignment="1">
      <alignment horizontal="center"/>
    </xf>
    <xf numFmtId="44" fontId="29" fillId="0" borderId="0" xfId="18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16" fontId="15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right"/>
    </xf>
    <xf numFmtId="165" fontId="33" fillId="0" borderId="0" xfId="0" applyNumberFormat="1" applyFont="1" applyBorder="1" applyAlignment="1">
      <alignment horizontal="right"/>
    </xf>
    <xf numFmtId="167" fontId="3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165" fontId="35" fillId="0" borderId="0" xfId="0" applyNumberFormat="1" applyFont="1" applyBorder="1" applyAlignment="1">
      <alignment horizontal="right"/>
    </xf>
    <xf numFmtId="167" fontId="35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7" fontId="36" fillId="0" borderId="9" xfId="1" applyNumberFormat="1" applyFont="1" applyBorder="1" applyAlignment="1">
      <alignment horizontal="center"/>
    </xf>
    <xf numFmtId="167" fontId="20" fillId="0" borderId="9" xfId="1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167" fontId="23" fillId="0" borderId="9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7" borderId="0" xfId="1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0" fontId="37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167" fontId="18" fillId="6" borderId="0" xfId="1" applyNumberFormat="1" applyFont="1" applyFill="1" applyAlignment="1">
      <alignment horizontal="center"/>
    </xf>
    <xf numFmtId="167" fontId="18" fillId="7" borderId="0" xfId="1" applyNumberFormat="1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7" fontId="22" fillId="7" borderId="0" xfId="1" applyNumberFormat="1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167" fontId="23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167" fontId="23" fillId="0" borderId="11" xfId="1" applyNumberFormat="1" applyFont="1" applyBorder="1" applyAlignment="1">
      <alignment horizontal="left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0" fontId="48" fillId="0" borderId="0" xfId="0" applyFont="1" applyFill="1" applyAlignment="1"/>
    <xf numFmtId="0" fontId="48" fillId="0" borderId="0" xfId="0" applyFont="1" applyFill="1" applyAlignment="1">
      <alignment horizontal="center"/>
    </xf>
    <xf numFmtId="0" fontId="48" fillId="2" borderId="0" xfId="0" applyFont="1" applyFill="1" applyAlignment="1">
      <alignment horizontal="center"/>
    </xf>
    <xf numFmtId="0" fontId="48" fillId="5" borderId="0" xfId="0" applyFont="1" applyFill="1" applyAlignment="1"/>
    <xf numFmtId="166" fontId="48" fillId="5" borderId="0" xfId="0" applyNumberFormat="1" applyFont="1" applyFill="1" applyAlignment="1"/>
    <xf numFmtId="10" fontId="48" fillId="5" borderId="0" xfId="39" applyNumberFormat="1" applyFont="1" applyFill="1" applyAlignment="1">
      <alignment horizontal="center"/>
    </xf>
    <xf numFmtId="0" fontId="48" fillId="0" borderId="0" xfId="0" applyFont="1" applyFill="1" applyBorder="1" applyAlignment="1"/>
    <xf numFmtId="10" fontId="48" fillId="0" borderId="0" xfId="39" applyNumberFormat="1" applyFont="1" applyFill="1" applyAlignment="1">
      <alignment horizontal="center"/>
    </xf>
    <xf numFmtId="0" fontId="19" fillId="5" borderId="0" xfId="0" applyFont="1" applyFill="1" applyAlignment="1"/>
    <xf numFmtId="49" fontId="48" fillId="5" borderId="0" xfId="0" applyNumberFormat="1" applyFont="1" applyFill="1" applyAlignment="1"/>
    <xf numFmtId="166" fontId="48" fillId="5" borderId="0" xfId="39" applyNumberFormat="1" applyFont="1" applyFill="1" applyAlignment="1">
      <alignment horizontal="center"/>
    </xf>
    <xf numFmtId="166" fontId="19" fillId="0" borderId="0" xfId="1" applyNumberFormat="1" applyFont="1" applyFill="1" applyAlignment="1">
      <alignment horizontal="right"/>
    </xf>
    <xf numFmtId="166" fontId="19" fillId="0" borderId="0" xfId="39" applyNumberFormat="1" applyFont="1" applyFill="1" applyAlignment="1">
      <alignment horizontal="center"/>
    </xf>
    <xf numFmtId="166" fontId="19" fillId="0" borderId="0" xfId="0" applyNumberFormat="1" applyFont="1" applyFill="1" applyAlignment="1">
      <alignment horizontal="right"/>
    </xf>
    <xf numFmtId="38" fontId="6" fillId="0" borderId="0" xfId="0" applyNumberFormat="1" applyFont="1" applyAlignment="1">
      <alignment horizontal="center"/>
    </xf>
    <xf numFmtId="0" fontId="0" fillId="0" borderId="0" xfId="0" applyAlignment="1"/>
    <xf numFmtId="0" fontId="18" fillId="0" borderId="0" xfId="0" applyFont="1" applyAlignment="1"/>
    <xf numFmtId="166" fontId="0" fillId="0" borderId="0" xfId="0" applyNumberFormat="1" applyAlignment="1"/>
    <xf numFmtId="167" fontId="0" fillId="0" borderId="0" xfId="1" applyNumberFormat="1" applyFont="1" applyAlignment="1"/>
    <xf numFmtId="49" fontId="0" fillId="0" borderId="0" xfId="0" applyNumberFormat="1" applyAlignment="1"/>
    <xf numFmtId="166" fontId="0" fillId="0" borderId="0" xfId="1" applyNumberFormat="1" applyFont="1" applyAlignment="1"/>
    <xf numFmtId="169" fontId="0" fillId="0" borderId="0" xfId="0" applyNumberFormat="1" applyAlignment="1"/>
    <xf numFmtId="44" fontId="0" fillId="0" borderId="0" xfId="0" applyNumberFormat="1" applyAlignment="1"/>
    <xf numFmtId="168" fontId="18" fillId="0" borderId="0" xfId="0" applyNumberFormat="1" applyFont="1" applyAlignment="1"/>
    <xf numFmtId="0" fontId="23" fillId="3" borderId="10" xfId="0" applyFont="1" applyFill="1" applyBorder="1" applyAlignment="1"/>
    <xf numFmtId="0" fontId="23" fillId="3" borderId="11" xfId="0" applyFont="1" applyFill="1" applyBorder="1" applyAlignment="1"/>
    <xf numFmtId="0" fontId="18" fillId="3" borderId="11" xfId="0" applyFont="1" applyFill="1" applyBorder="1" applyAlignment="1"/>
    <xf numFmtId="166" fontId="23" fillId="3" borderId="12" xfId="0" applyNumberFormat="1" applyFont="1" applyFill="1" applyBorder="1" applyAlignment="1"/>
    <xf numFmtId="166" fontId="18" fillId="0" borderId="0" xfId="0" applyNumberFormat="1" applyFont="1" applyAlignment="1"/>
    <xf numFmtId="168" fontId="23" fillId="4" borderId="10" xfId="0" applyNumberFormat="1" applyFont="1" applyFill="1" applyBorder="1" applyAlignment="1"/>
    <xf numFmtId="168" fontId="23" fillId="4" borderId="11" xfId="0" applyNumberFormat="1" applyFont="1" applyFill="1" applyBorder="1" applyAlignment="1"/>
    <xf numFmtId="42" fontId="23" fillId="4" borderId="12" xfId="0" applyNumberFormat="1" applyFont="1" applyFill="1" applyBorder="1" applyAlignment="1"/>
    <xf numFmtId="0" fontId="22" fillId="0" borderId="0" xfId="0" applyFont="1" applyAlignment="1"/>
    <xf numFmtId="0" fontId="47" fillId="0" borderId="0" xfId="0" applyFont="1" applyAlignment="1"/>
    <xf numFmtId="166" fontId="22" fillId="0" borderId="0" xfId="0" applyNumberFormat="1" applyFont="1" applyAlignment="1"/>
    <xf numFmtId="0" fontId="11" fillId="0" borderId="0" xfId="0" applyFont="1" applyAlignment="1"/>
    <xf numFmtId="0" fontId="11" fillId="0" borderId="15" xfId="0" applyFont="1" applyBorder="1" applyAlignment="1"/>
    <xf numFmtId="0" fontId="0" fillId="0" borderId="16" xfId="0" applyFont="1" applyBorder="1" applyAlignment="1"/>
    <xf numFmtId="0" fontId="0" fillId="0" borderId="17" xfId="0" applyBorder="1" applyAlignment="1"/>
    <xf numFmtId="0" fontId="0" fillId="0" borderId="18" xfId="0" applyFont="1" applyBorder="1" applyAlignment="1"/>
    <xf numFmtId="0" fontId="0" fillId="0" borderId="0" xfId="0" applyFont="1" applyBorder="1" applyAlignment="1"/>
    <xf numFmtId="167" fontId="0" fillId="0" borderId="0" xfId="1" applyNumberFormat="1" applyFont="1" applyFill="1" applyBorder="1" applyAlignment="1"/>
    <xf numFmtId="0" fontId="0" fillId="0" borderId="0" xfId="0" applyFill="1" applyBorder="1" applyAlignment="1"/>
    <xf numFmtId="0" fontId="0" fillId="0" borderId="19" xfId="0" applyBorder="1" applyAlignment="1"/>
    <xf numFmtId="0" fontId="5" fillId="0" borderId="0" xfId="0" applyFont="1" applyAlignment="1"/>
    <xf numFmtId="167" fontId="11" fillId="0" borderId="0" xfId="0" applyNumberFormat="1" applyFont="1" applyAlignment="1"/>
    <xf numFmtId="0" fontId="0" fillId="0" borderId="0" xfId="0" applyBorder="1" applyAlignment="1"/>
    <xf numFmtId="167" fontId="0" fillId="0" borderId="19" xfId="1" applyNumberFormat="1" applyFont="1" applyBorder="1" applyAlignment="1"/>
    <xf numFmtId="0" fontId="45" fillId="0" borderId="0" xfId="0" applyFont="1" applyAlignment="1"/>
    <xf numFmtId="167" fontId="0" fillId="0" borderId="0" xfId="1" applyNumberFormat="1" applyFont="1" applyBorder="1" applyAlignment="1"/>
    <xf numFmtId="167" fontId="11" fillId="0" borderId="0" xfId="1" applyNumberFormat="1" applyFont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7" xfId="0" applyBorder="1" applyAlignment="1"/>
    <xf numFmtId="167" fontId="0" fillId="0" borderId="7" xfId="1" applyNumberFormat="1" applyFont="1" applyBorder="1" applyAlignment="1"/>
    <xf numFmtId="167" fontId="0" fillId="0" borderId="21" xfId="1" applyNumberFormat="1" applyFont="1" applyBorder="1" applyAlignment="1"/>
    <xf numFmtId="167" fontId="0" fillId="0" borderId="18" xfId="1" applyNumberFormat="1" applyFont="1" applyBorder="1" applyAlignment="1"/>
    <xf numFmtId="0" fontId="13" fillId="0" borderId="0" xfId="0" applyNumberFormat="1" applyFont="1" applyAlignment="1"/>
    <xf numFmtId="0" fontId="12" fillId="0" borderId="0" xfId="0" applyNumberFormat="1" applyFont="1" applyAlignment="1"/>
    <xf numFmtId="0" fontId="0" fillId="0" borderId="22" xfId="0" applyBorder="1" applyAlignment="1"/>
    <xf numFmtId="167" fontId="0" fillId="0" borderId="9" xfId="1" applyNumberFormat="1" applyFont="1" applyBorder="1" applyAlignment="1"/>
    <xf numFmtId="0" fontId="0" fillId="0" borderId="9" xfId="0" applyBorder="1" applyAlignment="1"/>
    <xf numFmtId="167" fontId="0" fillId="0" borderId="9" xfId="1" applyNumberFormat="1" applyFont="1" applyFill="1" applyBorder="1" applyAlignment="1"/>
    <xf numFmtId="0" fontId="0" fillId="0" borderId="9" xfId="0" applyFill="1" applyBorder="1" applyAlignment="1"/>
    <xf numFmtId="0" fontId="0" fillId="0" borderId="23" xfId="0" applyBorder="1" applyAlignment="1"/>
    <xf numFmtId="0" fontId="12" fillId="0" borderId="0" xfId="0" applyNumberFormat="1" applyFont="1" applyFill="1" applyAlignment="1"/>
    <xf numFmtId="0" fontId="0" fillId="0" borderId="0" xfId="0" applyFont="1" applyAlignment="1"/>
    <xf numFmtId="0" fontId="12" fillId="0" borderId="0" xfId="0" applyFont="1" applyAlignment="1"/>
    <xf numFmtId="0" fontId="47" fillId="0" borderId="0" xfId="0" applyFont="1" applyFill="1" applyAlignment="1"/>
    <xf numFmtId="0" fontId="0" fillId="0" borderId="0" xfId="0" applyFont="1" applyFill="1" applyAlignment="1"/>
    <xf numFmtId="0" fontId="14" fillId="0" borderId="0" xfId="0" applyFont="1" applyAlignment="1"/>
    <xf numFmtId="166" fontId="14" fillId="0" borderId="0" xfId="1" applyNumberFormat="1" applyFont="1" applyAlignment="1"/>
    <xf numFmtId="166" fontId="14" fillId="0" borderId="0" xfId="18" applyNumberFormat="1" applyFont="1" applyAlignment="1"/>
    <xf numFmtId="0" fontId="4" fillId="0" borderId="0" xfId="0" applyFont="1" applyAlignment="1"/>
    <xf numFmtId="166" fontId="11" fillId="0" borderId="0" xfId="0" applyNumberFormat="1" applyFont="1" applyAlignment="1"/>
    <xf numFmtId="166" fontId="0" fillId="0" borderId="0" xfId="0" applyNumberFormat="1" applyFont="1" applyAlignment="1"/>
    <xf numFmtId="166" fontId="28" fillId="0" borderId="0" xfId="0" applyNumberFormat="1" applyFont="1" applyAlignment="1"/>
    <xf numFmtId="0" fontId="7" fillId="0" borderId="0" xfId="0" applyFont="1" applyAlignment="1"/>
    <xf numFmtId="15" fontId="7" fillId="0" borderId="0" xfId="0" applyNumberFormat="1" applyFont="1" applyAlignment="1"/>
    <xf numFmtId="38" fontId="7" fillId="0" borderId="0" xfId="0" applyNumberFormat="1" applyFont="1" applyAlignment="1"/>
    <xf numFmtId="0" fontId="24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38" fontId="8" fillId="0" borderId="0" xfId="0" applyNumberFormat="1" applyFont="1" applyAlignment="1"/>
    <xf numFmtId="38" fontId="7" fillId="0" borderId="0" xfId="1" applyNumberFormat="1" applyFont="1" applyAlignment="1"/>
    <xf numFmtId="38" fontId="7" fillId="0" borderId="0" xfId="1" applyNumberFormat="1" applyFont="1" applyFill="1" applyAlignment="1"/>
    <xf numFmtId="0" fontId="25" fillId="0" borderId="0" xfId="0" applyFont="1" applyAlignment="1"/>
    <xf numFmtId="38" fontId="6" fillId="0" borderId="0" xfId="0" applyNumberFormat="1" applyFont="1" applyAlignment="1"/>
    <xf numFmtId="38" fontId="6" fillId="0" borderId="0" xfId="1" applyNumberFormat="1" applyFont="1" applyAlignment="1"/>
    <xf numFmtId="38" fontId="24" fillId="0" borderId="0" xfId="1" applyNumberFormat="1" applyFont="1" applyAlignment="1"/>
    <xf numFmtId="38" fontId="24" fillId="0" borderId="0" xfId="1" applyNumberFormat="1" applyFont="1" applyFill="1" applyAlignment="1"/>
    <xf numFmtId="166" fontId="7" fillId="0" borderId="0" xfId="0" applyNumberFormat="1" applyFont="1" applyAlignment="1"/>
    <xf numFmtId="38" fontId="7" fillId="0" borderId="0" xfId="0" applyNumberFormat="1" applyFont="1" applyFill="1" applyAlignment="1"/>
    <xf numFmtId="0" fontId="25" fillId="0" borderId="0" xfId="0" applyFont="1" applyFill="1" applyAlignment="1"/>
    <xf numFmtId="38" fontId="6" fillId="0" borderId="0" xfId="0" applyNumberFormat="1" applyFont="1" applyFill="1" applyAlignment="1"/>
    <xf numFmtId="0" fontId="43" fillId="0" borderId="0" xfId="0" applyFont="1" applyAlignment="1"/>
    <xf numFmtId="38" fontId="6" fillId="0" borderId="0" xfId="1" applyNumberFormat="1" applyFont="1" applyFill="1" applyAlignment="1"/>
    <xf numFmtId="0" fontId="27" fillId="0" borderId="0" xfId="0" applyFont="1" applyAlignment="1"/>
    <xf numFmtId="38" fontId="24" fillId="0" borderId="0" xfId="0" applyNumberFormat="1" applyFont="1" applyAlignment="1"/>
    <xf numFmtId="167" fontId="45" fillId="0" borderId="0" xfId="1" applyNumberFormat="1" applyFont="1" applyAlignment="1"/>
    <xf numFmtId="0" fontId="0" fillId="0" borderId="1" xfId="0" applyBorder="1" applyAlignment="1"/>
    <xf numFmtId="0" fontId="0" fillId="0" borderId="2" xfId="0" applyBorder="1" applyAlignment="1"/>
    <xf numFmtId="167" fontId="0" fillId="0" borderId="2" xfId="1" applyNumberFormat="1" applyFont="1" applyBorder="1" applyAlignment="1"/>
    <xf numFmtId="167" fontId="0" fillId="0" borderId="3" xfId="1" applyNumberFormat="1" applyFont="1" applyBorder="1" applyAlignment="1"/>
    <xf numFmtId="0" fontId="0" fillId="0" borderId="4" xfId="0" applyBorder="1" applyAlignment="1"/>
    <xf numFmtId="167" fontId="0" fillId="0" borderId="5" xfId="1" applyNumberFormat="1" applyFont="1" applyBorder="1" applyAlignment="1"/>
    <xf numFmtId="167" fontId="0" fillId="0" borderId="25" xfId="1" applyNumberFormat="1" applyFont="1" applyBorder="1" applyAlignment="1"/>
    <xf numFmtId="167" fontId="0" fillId="0" borderId="24" xfId="1" applyNumberFormat="1" applyFont="1" applyBorder="1" applyAlignment="1"/>
    <xf numFmtId="0" fontId="0" fillId="0" borderId="2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0" xfId="0" applyFill="1" applyAlignment="1"/>
    <xf numFmtId="0" fontId="11" fillId="0" borderId="0" xfId="0" applyFont="1" applyFill="1" applyAlignment="1"/>
    <xf numFmtId="0" fontId="18" fillId="0" borderId="0" xfId="0" applyFont="1" applyFill="1" applyAlignment="1"/>
    <xf numFmtId="49" fontId="0" fillId="0" borderId="0" xfId="0" applyNumberFormat="1" applyFill="1" applyAlignment="1"/>
    <xf numFmtId="166" fontId="0" fillId="0" borderId="0" xfId="1" applyNumberFormat="1" applyFont="1" applyFill="1" applyAlignment="1"/>
    <xf numFmtId="16" fontId="0" fillId="0" borderId="0" xfId="0" applyNumberFormat="1" applyFill="1" applyAlignment="1"/>
    <xf numFmtId="0" fontId="16" fillId="0" borderId="0" xfId="0" applyFont="1" applyFill="1" applyAlignment="1"/>
    <xf numFmtId="166" fontId="16" fillId="0" borderId="0" xfId="1" applyNumberFormat="1" applyFont="1" applyFill="1" applyAlignment="1"/>
    <xf numFmtId="0" fontId="21" fillId="0" borderId="0" xfId="0" applyFont="1" applyFill="1" applyAlignment="1"/>
    <xf numFmtId="166" fontId="11" fillId="0" borderId="0" xfId="0" applyNumberFormat="1" applyFont="1" applyFill="1" applyAlignment="1"/>
    <xf numFmtId="0" fontId="0" fillId="0" borderId="0" xfId="0" applyNumberFormat="1" applyFill="1" applyAlignment="1"/>
    <xf numFmtId="164" fontId="0" fillId="0" borderId="0" xfId="0" applyNumberFormat="1" applyFill="1" applyAlignment="1"/>
    <xf numFmtId="0" fontId="22" fillId="0" borderId="0" xfId="0" applyFont="1" applyFill="1" applyAlignment="1"/>
    <xf numFmtId="169" fontId="0" fillId="0" borderId="0" xfId="0" applyNumberFormat="1" applyFill="1" applyAlignment="1"/>
    <xf numFmtId="166" fontId="0" fillId="0" borderId="0" xfId="0" applyNumberFormat="1" applyFill="1" applyAlignment="1"/>
    <xf numFmtId="44" fontId="0" fillId="0" borderId="0" xfId="0" applyNumberFormat="1" applyFill="1" applyAlignment="1"/>
    <xf numFmtId="0" fontId="23" fillId="0" borderId="10" xfId="0" applyFont="1" applyFill="1" applyBorder="1" applyAlignment="1"/>
    <xf numFmtId="0" fontId="23" fillId="0" borderId="11" xfId="0" applyFont="1" applyFill="1" applyBorder="1" applyAlignment="1"/>
    <xf numFmtId="0" fontId="18" fillId="0" borderId="11" xfId="0" applyFont="1" applyFill="1" applyBorder="1" applyAlignment="1"/>
    <xf numFmtId="166" fontId="23" fillId="0" borderId="12" xfId="0" applyNumberFormat="1" applyFont="1" applyFill="1" applyBorder="1" applyAlignment="1"/>
    <xf numFmtId="166" fontId="18" fillId="0" borderId="0" xfId="0" applyNumberFormat="1" applyFont="1" applyFill="1" applyAlignment="1"/>
    <xf numFmtId="168" fontId="23" fillId="0" borderId="10" xfId="0" applyNumberFormat="1" applyFont="1" applyFill="1" applyBorder="1" applyAlignment="1"/>
    <xf numFmtId="168" fontId="23" fillId="0" borderId="11" xfId="0" applyNumberFormat="1" applyFont="1" applyFill="1" applyBorder="1" applyAlignment="1"/>
    <xf numFmtId="42" fontId="23" fillId="0" borderId="12" xfId="0" applyNumberFormat="1" applyFont="1" applyFill="1" applyBorder="1" applyAlignment="1"/>
    <xf numFmtId="9" fontId="0" fillId="0" borderId="0" xfId="39" applyFont="1" applyFill="1" applyAlignment="1"/>
    <xf numFmtId="165" fontId="0" fillId="0" borderId="0" xfId="0" applyNumberFormat="1" applyFill="1" applyAlignment="1"/>
    <xf numFmtId="0" fontId="19" fillId="0" borderId="0" xfId="0" applyFont="1" applyAlignment="1"/>
    <xf numFmtId="0" fontId="19" fillId="0" borderId="0" xfId="0" applyFont="1" applyFill="1" applyBorder="1" applyAlignment="1"/>
    <xf numFmtId="166" fontId="19" fillId="0" borderId="0" xfId="1" applyNumberFormat="1" applyFont="1" applyAlignment="1"/>
    <xf numFmtId="166" fontId="49" fillId="0" borderId="0" xfId="1" applyNumberFormat="1" applyFont="1" applyFill="1" applyAlignment="1"/>
    <xf numFmtId="166" fontId="48" fillId="0" borderId="0" xfId="0" applyNumberFormat="1" applyFont="1" applyFill="1" applyAlignment="1"/>
    <xf numFmtId="9" fontId="19" fillId="5" borderId="0" xfId="39" applyFont="1" applyFill="1" applyAlignment="1"/>
    <xf numFmtId="9" fontId="19" fillId="0" borderId="0" xfId="39" applyFont="1" applyFill="1" applyAlignment="1"/>
    <xf numFmtId="171" fontId="19" fillId="0" borderId="0" xfId="1" applyNumberFormat="1" applyFont="1" applyFill="1" applyAlignment="1"/>
    <xf numFmtId="16" fontId="19" fillId="0" borderId="0" xfId="0" applyNumberFormat="1" applyFont="1" applyFill="1" applyAlignment="1"/>
    <xf numFmtId="16" fontId="19" fillId="0" borderId="0" xfId="0" applyNumberFormat="1" applyFont="1" applyAlignment="1"/>
    <xf numFmtId="0" fontId="26" fillId="0" borderId="0" xfId="0" applyFont="1" applyFill="1" applyAlignment="1"/>
    <xf numFmtId="166" fontId="26" fillId="0" borderId="0" xfId="1" applyNumberFormat="1" applyFont="1" applyFill="1" applyAlignment="1"/>
    <xf numFmtId="0" fontId="23" fillId="0" borderId="9" xfId="0" applyFont="1" applyBorder="1" applyAlignment="1"/>
    <xf numFmtId="167" fontId="18" fillId="0" borderId="0" xfId="1" applyNumberFormat="1" applyFont="1" applyAlignment="1"/>
    <xf numFmtId="0" fontId="0" fillId="0" borderId="14" xfId="0" applyFont="1" applyFill="1" applyBorder="1" applyAlignment="1"/>
    <xf numFmtId="0" fontId="0" fillId="0" borderId="14" xfId="0" applyFill="1" applyBorder="1" applyAlignment="1"/>
    <xf numFmtId="0" fontId="37" fillId="0" borderId="0" xfId="0" applyFont="1" applyAlignment="1"/>
    <xf numFmtId="0" fontId="18" fillId="6" borderId="0" xfId="0" applyFont="1" applyFill="1" applyAlignment="1"/>
    <xf numFmtId="167" fontId="0" fillId="6" borderId="0" xfId="1" applyNumberFormat="1" applyFont="1" applyFill="1" applyAlignment="1"/>
    <xf numFmtId="167" fontId="18" fillId="6" borderId="0" xfId="1" applyNumberFormat="1" applyFont="1" applyFill="1" applyAlignment="1"/>
    <xf numFmtId="0" fontId="0" fillId="6" borderId="0" xfId="0" applyFill="1" applyAlignment="1"/>
    <xf numFmtId="0" fontId="0" fillId="6" borderId="0" xfId="0" applyFill="1" applyBorder="1" applyAlignment="1"/>
    <xf numFmtId="0" fontId="18" fillId="7" borderId="0" xfId="0" applyFont="1" applyFill="1" applyAlignment="1"/>
    <xf numFmtId="167" fontId="18" fillId="7" borderId="0" xfId="1" applyNumberFormat="1" applyFont="1" applyFill="1" applyAlignment="1"/>
    <xf numFmtId="0" fontId="37" fillId="6" borderId="0" xfId="0" applyFont="1" applyFill="1" applyAlignment="1"/>
    <xf numFmtId="167" fontId="37" fillId="6" borderId="0" xfId="1" applyNumberFormat="1" applyFont="1" applyFill="1" applyAlignment="1"/>
    <xf numFmtId="167" fontId="0" fillId="7" borderId="0" xfId="1" applyNumberFormat="1" applyFont="1" applyFill="1" applyAlignment="1"/>
    <xf numFmtId="167" fontId="0" fillId="0" borderId="0" xfId="0" applyNumberFormat="1" applyAlignment="1"/>
    <xf numFmtId="167" fontId="22" fillId="7" borderId="0" xfId="1" applyNumberFormat="1" applyFont="1" applyFill="1" applyAlignment="1"/>
    <xf numFmtId="0" fontId="22" fillId="7" borderId="0" xfId="0" applyFont="1" applyFill="1" applyAlignment="1"/>
    <xf numFmtId="167" fontId="0" fillId="0" borderId="0" xfId="1" applyNumberFormat="1" applyFont="1" applyFill="1" applyAlignment="1"/>
    <xf numFmtId="167" fontId="18" fillId="0" borderId="0" xfId="1" applyNumberFormat="1" applyFont="1" applyFill="1" applyAlignment="1"/>
    <xf numFmtId="167" fontId="22" fillId="0" borderId="0" xfId="1" applyNumberFormat="1" applyFont="1" applyAlignment="1"/>
    <xf numFmtId="0" fontId="22" fillId="6" borderId="0" xfId="0" applyFont="1" applyFill="1" applyAlignment="1"/>
    <xf numFmtId="167" fontId="22" fillId="6" borderId="0" xfId="1" applyNumberFormat="1" applyFont="1" applyFill="1" applyAlignment="1"/>
    <xf numFmtId="0" fontId="23" fillId="0" borderId="10" xfId="0" applyFont="1" applyBorder="1" applyAlignment="1"/>
    <xf numFmtId="0" fontId="23" fillId="0" borderId="11" xfId="0" applyFont="1" applyBorder="1" applyAlignment="1"/>
    <xf numFmtId="0" fontId="18" fillId="0" borderId="11" xfId="0" applyFont="1" applyBorder="1" applyAlignment="1"/>
    <xf numFmtId="167" fontId="0" fillId="0" borderId="11" xfId="1" applyNumberFormat="1" applyFont="1" applyBorder="1" applyAlignment="1"/>
    <xf numFmtId="167" fontId="18" fillId="0" borderId="11" xfId="1" applyNumberFormat="1" applyFont="1" applyBorder="1" applyAlignment="1"/>
    <xf numFmtId="167" fontId="18" fillId="0" borderId="12" xfId="1" applyNumberFormat="1" applyFont="1" applyBorder="1" applyAlignment="1"/>
    <xf numFmtId="167" fontId="18" fillId="0" borderId="0" xfId="1" applyNumberFormat="1" applyFont="1" applyBorder="1" applyAlignment="1"/>
    <xf numFmtId="168" fontId="23" fillId="0" borderId="10" xfId="0" applyNumberFormat="1" applyFont="1" applyBorder="1" applyAlignment="1"/>
    <xf numFmtId="168" fontId="23" fillId="0" borderId="11" xfId="0" applyNumberFormat="1" applyFont="1" applyBorder="1" applyAlignment="1"/>
    <xf numFmtId="0" fontId="38" fillId="0" borderId="0" xfId="0" applyFont="1" applyAlignment="1"/>
    <xf numFmtId="0" fontId="39" fillId="0" borderId="0" xfId="0" applyFont="1" applyAlignment="1"/>
    <xf numFmtId="0" fontId="40" fillId="0" borderId="0" xfId="0" applyFont="1" applyFill="1" applyAlignment="1"/>
    <xf numFmtId="42" fontId="20" fillId="0" borderId="0" xfId="1" applyNumberFormat="1" applyFont="1" applyFill="1" applyAlignment="1"/>
    <xf numFmtId="165" fontId="40" fillId="0" borderId="0" xfId="0" applyNumberFormat="1" applyFont="1" applyFill="1" applyAlignment="1"/>
    <xf numFmtId="165" fontId="39" fillId="0" borderId="0" xfId="0" applyNumberFormat="1" applyFont="1" applyAlignment="1"/>
    <xf numFmtId="0" fontId="12" fillId="0" borderId="0" xfId="0" applyFont="1" applyFill="1" applyAlignment="1"/>
    <xf numFmtId="167" fontId="12" fillId="0" borderId="0" xfId="0" applyNumberFormat="1" applyFont="1" applyFill="1" applyAlignment="1"/>
    <xf numFmtId="42" fontId="13" fillId="0" borderId="0" xfId="1" applyNumberFormat="1" applyFont="1" applyFill="1" applyAlignment="1"/>
    <xf numFmtId="0" fontId="13" fillId="0" borderId="0" xfId="0" applyFont="1" applyFill="1" applyAlignment="1"/>
    <xf numFmtId="167" fontId="13" fillId="0" borderId="0" xfId="0" applyNumberFormat="1" applyFont="1" applyFill="1" applyAlignment="1"/>
    <xf numFmtId="165" fontId="11" fillId="0" borderId="0" xfId="0" applyNumberFormat="1" applyFont="1" applyAlignment="1"/>
    <xf numFmtId="167" fontId="40" fillId="0" borderId="0" xfId="0" applyNumberFormat="1" applyFont="1" applyFill="1" applyAlignment="1"/>
    <xf numFmtId="174" fontId="0" fillId="0" borderId="0" xfId="0" applyNumberFormat="1" applyAlignment="1"/>
    <xf numFmtId="40" fontId="0" fillId="0" borderId="0" xfId="0" applyNumberFormat="1" applyAlignment="1"/>
    <xf numFmtId="10" fontId="0" fillId="0" borderId="0" xfId="0" applyNumberFormat="1" applyAlignment="1"/>
    <xf numFmtId="174" fontId="0" fillId="8" borderId="0" xfId="0" applyNumberFormat="1" applyFill="1" applyAlignment="1"/>
    <xf numFmtId="40" fontId="0" fillId="8" borderId="0" xfId="0" applyNumberFormat="1" applyFill="1" applyAlignment="1"/>
    <xf numFmtId="0" fontId="0" fillId="7" borderId="0" xfId="0" applyFill="1" applyAlignment="1"/>
    <xf numFmtId="0" fontId="0" fillId="9" borderId="0" xfId="0" applyFill="1" applyAlignment="1"/>
    <xf numFmtId="14" fontId="0" fillId="9" borderId="0" xfId="0" applyNumberFormat="1" applyFill="1" applyAlignment="1"/>
    <xf numFmtId="40" fontId="0" fillId="9" borderId="0" xfId="0" applyNumberFormat="1" applyFill="1" applyAlignment="1"/>
    <xf numFmtId="14" fontId="0" fillId="0" borderId="0" xfId="0" applyNumberFormat="1" applyAlignment="1"/>
    <xf numFmtId="16" fontId="0" fillId="0" borderId="0" xfId="0" applyNumberFormat="1" applyAlignment="1"/>
    <xf numFmtId="0" fontId="27" fillId="0" borderId="0" xfId="0" applyFont="1"/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5" fillId="0" borderId="0" xfId="0" applyFont="1" applyFill="1" applyBorder="1" applyAlignment="1"/>
    <xf numFmtId="0" fontId="29" fillId="0" borderId="0" xfId="0" applyFont="1" applyBorder="1"/>
    <xf numFmtId="165" fontId="29" fillId="0" borderId="0" xfId="0" applyNumberFormat="1" applyFont="1" applyBorder="1"/>
    <xf numFmtId="0" fontId="0" fillId="0" borderId="0" xfId="0" applyBorder="1"/>
    <xf numFmtId="44" fontId="15" fillId="0" borderId="0" xfId="18" applyFont="1" applyBorder="1"/>
    <xf numFmtId="166" fontId="15" fillId="0" borderId="0" xfId="125" applyNumberFormat="1" applyFont="1" applyBorder="1"/>
    <xf numFmtId="9" fontId="15" fillId="0" borderId="0" xfId="126" applyFont="1" applyBorder="1"/>
    <xf numFmtId="166" fontId="15" fillId="0" borderId="0" xfId="18" applyNumberFormat="1" applyFont="1" applyBorder="1"/>
    <xf numFmtId="166" fontId="30" fillId="0" borderId="0" xfId="125" applyNumberFormat="1" applyFont="1" applyBorder="1"/>
    <xf numFmtId="165" fontId="0" fillId="0" borderId="0" xfId="0" applyNumberFormat="1" applyBorder="1"/>
    <xf numFmtId="0" fontId="29" fillId="0" borderId="0" xfId="0" applyFont="1" applyFill="1" applyBorder="1"/>
    <xf numFmtId="166" fontId="31" fillId="0" borderId="0" xfId="125" applyNumberFormat="1" applyFont="1" applyBorder="1"/>
    <xf numFmtId="166" fontId="31" fillId="0" borderId="0" xfId="125" applyNumberFormat="1" applyFont="1" applyFill="1" applyBorder="1"/>
    <xf numFmtId="0" fontId="32" fillId="0" borderId="0" xfId="0" applyFont="1" applyFill="1" applyBorder="1"/>
    <xf numFmtId="0" fontId="33" fillId="0" borderId="0" xfId="0" applyFont="1" applyBorder="1"/>
    <xf numFmtId="167" fontId="0" fillId="0" borderId="0" xfId="0" applyNumberFormat="1" applyBorder="1"/>
    <xf numFmtId="166" fontId="30" fillId="0" borderId="0" xfId="125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167" fontId="0" fillId="0" borderId="0" xfId="0" applyNumberFormat="1" applyFill="1" applyBorder="1"/>
    <xf numFmtId="0" fontId="0" fillId="0" borderId="0" xfId="0" applyFont="1" applyBorder="1"/>
    <xf numFmtId="165" fontId="0" fillId="0" borderId="0" xfId="0" applyNumberFormat="1" applyFont="1" applyBorder="1"/>
    <xf numFmtId="167" fontId="0" fillId="0" borderId="0" xfId="0" applyNumberFormat="1" applyFont="1" applyBorder="1"/>
    <xf numFmtId="0" fontId="0" fillId="0" borderId="0" xfId="0" applyFont="1" applyFill="1" applyBorder="1"/>
    <xf numFmtId="0" fontId="34" fillId="0" borderId="0" xfId="0" applyFont="1" applyBorder="1"/>
    <xf numFmtId="172" fontId="15" fillId="0" borderId="0" xfId="127" applyNumberFormat="1" applyFont="1" applyBorder="1"/>
    <xf numFmtId="44" fontId="15" fillId="0" borderId="0" xfId="125" applyFont="1" applyBorder="1"/>
    <xf numFmtId="44" fontId="0" fillId="0" borderId="0" xfId="0" applyNumberFormat="1" applyBorder="1"/>
    <xf numFmtId="0" fontId="29" fillId="0" borderId="0" xfId="0" applyNumberFormat="1" applyFont="1" applyBorder="1"/>
    <xf numFmtId="0" fontId="0" fillId="0" borderId="0" xfId="0" applyNumberFormat="1" applyBorder="1"/>
    <xf numFmtId="173" fontId="29" fillId="0" borderId="0" xfId="124" applyNumberFormat="1" applyFont="1" applyBorder="1"/>
    <xf numFmtId="167" fontId="29" fillId="0" borderId="0" xfId="0" applyNumberFormat="1" applyFont="1" applyBorder="1"/>
    <xf numFmtId="172" fontId="29" fillId="0" borderId="0" xfId="127" applyNumberFormat="1" applyFont="1" applyBorder="1"/>
    <xf numFmtId="44" fontId="29" fillId="0" borderId="0" xfId="18" applyFont="1" applyBorder="1"/>
    <xf numFmtId="166" fontId="29" fillId="0" borderId="0" xfId="125" applyNumberFormat="1" applyFont="1" applyBorder="1"/>
    <xf numFmtId="10" fontId="29" fillId="0" borderId="0" xfId="126" applyNumberFormat="1" applyFont="1" applyBorder="1"/>
    <xf numFmtId="166" fontId="29" fillId="0" borderId="0" xfId="18" applyNumberFormat="1" applyFont="1" applyBorder="1"/>
    <xf numFmtId="44" fontId="29" fillId="0" borderId="0" xfId="18" applyNumberFormat="1" applyFont="1" applyBorder="1"/>
    <xf numFmtId="172" fontId="0" fillId="0" borderId="0" xfId="0" applyNumberFormat="1" applyBorder="1"/>
    <xf numFmtId="166" fontId="0" fillId="0" borderId="0" xfId="0" applyNumberFormat="1" applyBorder="1"/>
    <xf numFmtId="10" fontId="0" fillId="0" borderId="0" xfId="0" applyNumberFormat="1" applyBorder="1"/>
    <xf numFmtId="0" fontId="45" fillId="0" borderId="0" xfId="0" applyFont="1" applyFill="1" applyBorder="1"/>
    <xf numFmtId="0" fontId="16" fillId="0" borderId="0" xfId="0" applyFont="1" applyBorder="1" applyAlignment="1"/>
    <xf numFmtId="175" fontId="0" fillId="0" borderId="0" xfId="0" applyNumberFormat="1" applyAlignment="1"/>
    <xf numFmtId="0" fontId="46" fillId="0" borderId="0" xfId="0" applyFont="1" applyAlignment="1"/>
    <xf numFmtId="0" fontId="50" fillId="0" borderId="0" xfId="0" applyFont="1" applyAlignment="1"/>
    <xf numFmtId="41" fontId="24" fillId="0" borderId="0" xfId="0" applyNumberFormat="1" applyFont="1" applyFill="1"/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336">
    <cellStyle name="Comma" xfId="124" builtinId="3"/>
    <cellStyle name="Comma 2 2" xfId="127"/>
    <cellStyle name="Currency" xfId="1" builtinId="4"/>
    <cellStyle name="Currency 2 2" xfId="125"/>
    <cellStyle name="Currency 4" xfId="18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Normal" xfId="0" builtinId="0"/>
    <cellStyle name="Percent" xfId="39" builtinId="5"/>
    <cellStyle name="Percent 2 2" xfId="12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pane ySplit="1" topLeftCell="A2" activePane="bottomLeft" state="frozenSplit"/>
      <selection pane="bottomLeft" activeCell="E2" sqref="E2"/>
    </sheetView>
  </sheetViews>
  <sheetFormatPr baseColWidth="10" defaultColWidth="11.5" defaultRowHeight="17" customHeight="1" x14ac:dyDescent="0"/>
  <cols>
    <col min="1" max="1" width="11" style="156" bestFit="1" customWidth="1"/>
    <col min="2" max="2" width="2.1640625" style="156" customWidth="1"/>
    <col min="3" max="3" width="26.83203125" style="156" customWidth="1"/>
    <col min="4" max="4" width="2.1640625" style="156" customWidth="1"/>
    <col min="5" max="5" width="12.6640625" style="174" customWidth="1"/>
    <col min="6" max="6" width="1.6640625" style="174" customWidth="1"/>
    <col min="7" max="7" width="17.83203125" style="174" customWidth="1"/>
    <col min="8" max="8" width="13.33203125" style="174" customWidth="1"/>
    <col min="9" max="9" width="14.6640625" style="156" customWidth="1"/>
    <col min="10" max="16384" width="11.5" style="156"/>
  </cols>
  <sheetData>
    <row r="1" spans="1:12" s="153" customFormat="1" ht="17" customHeight="1">
      <c r="A1" s="2"/>
      <c r="B1" s="2"/>
      <c r="C1" s="2"/>
      <c r="D1" s="2"/>
      <c r="E1" s="90" t="s">
        <v>612</v>
      </c>
      <c r="F1" s="90"/>
      <c r="G1" s="90" t="s">
        <v>611</v>
      </c>
      <c r="H1" s="90" t="s">
        <v>249</v>
      </c>
      <c r="L1" s="154"/>
    </row>
    <row r="2" spans="1:12" ht="17" customHeight="1">
      <c r="A2" s="1" t="s">
        <v>0</v>
      </c>
      <c r="B2" s="2"/>
      <c r="C2" s="2"/>
      <c r="D2" s="2"/>
      <c r="E2" s="90"/>
      <c r="F2" s="90"/>
      <c r="G2" s="155"/>
      <c r="H2" s="155"/>
      <c r="L2" s="157"/>
    </row>
    <row r="3" spans="1:12" ht="17" customHeight="1">
      <c r="A3" s="120">
        <v>4000</v>
      </c>
      <c r="B3" s="120" t="s">
        <v>1</v>
      </c>
      <c r="C3" s="120"/>
      <c r="D3" s="120"/>
      <c r="E3" s="155"/>
      <c r="F3" s="155"/>
      <c r="G3" s="155"/>
      <c r="H3" s="155"/>
    </row>
    <row r="4" spans="1:12" ht="17" customHeight="1">
      <c r="A4" s="158"/>
      <c r="B4" s="158"/>
      <c r="C4" s="158" t="s">
        <v>2</v>
      </c>
      <c r="D4" s="158"/>
      <c r="E4" s="159">
        <v>191000</v>
      </c>
      <c r="F4" s="159"/>
      <c r="G4" s="160">
        <v>208463.4</v>
      </c>
      <c r="H4" s="161">
        <f>'Home Concerts'!D42</f>
        <v>211630</v>
      </c>
      <c r="I4" s="162" t="s">
        <v>254</v>
      </c>
      <c r="J4" s="171"/>
    </row>
    <row r="5" spans="1:12" ht="17" customHeight="1">
      <c r="A5" s="158"/>
      <c r="B5" s="158"/>
      <c r="C5" s="158" t="s">
        <v>3</v>
      </c>
      <c r="D5" s="158"/>
      <c r="E5" s="159">
        <v>350000</v>
      </c>
      <c r="F5" s="159"/>
      <c r="G5" s="160">
        <v>332434</v>
      </c>
      <c r="H5" s="160">
        <v>332400</v>
      </c>
      <c r="I5" s="162" t="s">
        <v>254</v>
      </c>
    </row>
    <row r="6" spans="1:12" ht="17" customHeight="1">
      <c r="A6" s="158"/>
      <c r="B6" s="158"/>
      <c r="C6" s="158" t="s">
        <v>4</v>
      </c>
      <c r="D6" s="158"/>
      <c r="E6" s="159">
        <v>20000</v>
      </c>
      <c r="F6" s="159"/>
      <c r="G6" s="160">
        <v>15000</v>
      </c>
      <c r="H6" s="160">
        <f>'FY17 self-bookings'!H18</f>
        <v>122873</v>
      </c>
      <c r="I6" s="162" t="s">
        <v>596</v>
      </c>
      <c r="L6" s="162" t="s">
        <v>417</v>
      </c>
    </row>
    <row r="7" spans="1:12" ht="17" customHeight="1">
      <c r="A7" s="158"/>
      <c r="B7" s="158"/>
      <c r="C7" s="158" t="s">
        <v>5</v>
      </c>
      <c r="D7" s="158"/>
      <c r="E7" s="155">
        <v>80000</v>
      </c>
      <c r="F7" s="155"/>
      <c r="G7" s="160">
        <v>51508.01</v>
      </c>
      <c r="H7" s="160">
        <v>65000</v>
      </c>
      <c r="I7" s="162" t="s">
        <v>574</v>
      </c>
    </row>
    <row r="8" spans="1:12" ht="17" customHeight="1">
      <c r="A8" s="158"/>
      <c r="B8" s="158"/>
      <c r="C8" s="158" t="s">
        <v>6</v>
      </c>
      <c r="D8" s="158"/>
      <c r="E8" s="155">
        <v>0</v>
      </c>
      <c r="F8" s="155"/>
      <c r="G8" s="160">
        <v>7</v>
      </c>
      <c r="H8" s="160">
        <v>0</v>
      </c>
      <c r="I8"/>
      <c r="L8" s="162" t="s">
        <v>561</v>
      </c>
    </row>
    <row r="9" spans="1:12" ht="17" customHeight="1">
      <c r="A9" s="158"/>
      <c r="B9" s="158"/>
      <c r="C9" s="158" t="s">
        <v>7</v>
      </c>
      <c r="D9" s="158"/>
      <c r="E9" s="155">
        <v>3300</v>
      </c>
      <c r="F9" s="155"/>
      <c r="G9" s="160">
        <v>6898</v>
      </c>
      <c r="H9" s="160">
        <v>10000</v>
      </c>
      <c r="I9" s="162" t="s">
        <v>565</v>
      </c>
      <c r="L9" s="171"/>
    </row>
    <row r="10" spans="1:12" ht="17" customHeight="1">
      <c r="A10" s="120"/>
      <c r="B10" s="120" t="s">
        <v>8</v>
      </c>
      <c r="C10" s="120"/>
      <c r="D10" s="120"/>
      <c r="E10" s="163">
        <v>644300</v>
      </c>
      <c r="F10" s="163"/>
      <c r="G10" s="164">
        <f>SUM(G4:G9)</f>
        <v>614310.41</v>
      </c>
      <c r="H10" s="163">
        <f>SUM(H4:H9)</f>
        <v>741903</v>
      </c>
    </row>
    <row r="11" spans="1:12" ht="17" customHeight="1">
      <c r="A11" s="158"/>
      <c r="B11" s="158"/>
      <c r="C11" s="158"/>
      <c r="D11" s="158"/>
      <c r="E11" s="155"/>
      <c r="F11" s="155"/>
      <c r="G11" s="160"/>
      <c r="H11" s="160"/>
    </row>
    <row r="12" spans="1:12" ht="17" customHeight="1">
      <c r="A12" s="120">
        <v>4500</v>
      </c>
      <c r="B12" s="120" t="s">
        <v>9</v>
      </c>
      <c r="C12" s="120"/>
      <c r="D12" s="120"/>
      <c r="E12" s="155"/>
      <c r="F12" s="155"/>
      <c r="G12" s="160"/>
      <c r="H12" s="160"/>
    </row>
    <row r="13" spans="1:12" ht="17" customHeight="1">
      <c r="A13" s="158"/>
      <c r="B13" s="158"/>
      <c r="C13" s="158" t="s">
        <v>10</v>
      </c>
      <c r="D13" s="158"/>
      <c r="E13" s="155">
        <v>115000</v>
      </c>
      <c r="F13" s="155"/>
      <c r="G13" s="165">
        <v>115045.51</v>
      </c>
      <c r="H13" s="160">
        <v>130000</v>
      </c>
      <c r="I13" s="162" t="s">
        <v>493</v>
      </c>
    </row>
    <row r="14" spans="1:12" ht="17" customHeight="1">
      <c r="A14" s="158"/>
      <c r="B14" s="158"/>
      <c r="C14" s="158" t="s">
        <v>363</v>
      </c>
      <c r="D14" s="158"/>
      <c r="E14" s="155"/>
      <c r="F14" s="155"/>
      <c r="G14" s="165">
        <v>30250</v>
      </c>
      <c r="H14" s="160">
        <v>0</v>
      </c>
      <c r="I14" s="162"/>
    </row>
    <row r="15" spans="1:12" ht="17" customHeight="1">
      <c r="A15" s="158"/>
      <c r="B15" s="158"/>
      <c r="C15" s="158" t="s">
        <v>11</v>
      </c>
      <c r="D15" s="158"/>
      <c r="E15" s="155">
        <v>115000</v>
      </c>
      <c r="F15" s="155"/>
      <c r="G15" s="165">
        <v>86339</v>
      </c>
      <c r="H15" s="160">
        <v>85000</v>
      </c>
      <c r="I15" s="162"/>
    </row>
    <row r="16" spans="1:12" ht="17" customHeight="1">
      <c r="A16" s="158"/>
      <c r="B16" s="158"/>
      <c r="C16" s="158" t="s">
        <v>12</v>
      </c>
      <c r="D16" s="158"/>
      <c r="E16" s="155">
        <v>10000</v>
      </c>
      <c r="F16" s="155"/>
      <c r="G16" s="166">
        <v>2000</v>
      </c>
      <c r="H16" s="160">
        <v>20000</v>
      </c>
      <c r="I16" s="162" t="s">
        <v>575</v>
      </c>
    </row>
    <row r="17" spans="1:13" ht="17" customHeight="1">
      <c r="A17" s="158"/>
      <c r="B17" s="158"/>
      <c r="C17" s="158" t="s">
        <v>13</v>
      </c>
      <c r="D17" s="158"/>
      <c r="E17" s="155">
        <v>95000</v>
      </c>
      <c r="F17" s="155"/>
      <c r="G17" s="331">
        <f>83835+20000</f>
        <v>103835</v>
      </c>
      <c r="H17" s="160">
        <v>99250</v>
      </c>
      <c r="I17" s="162" t="s">
        <v>572</v>
      </c>
    </row>
    <row r="18" spans="1:13" ht="17" customHeight="1">
      <c r="A18" s="158"/>
      <c r="B18" s="158"/>
      <c r="C18" s="158" t="s">
        <v>14</v>
      </c>
      <c r="D18" s="158"/>
      <c r="E18" s="155">
        <v>206541</v>
      </c>
      <c r="F18" s="155"/>
      <c r="G18" s="165">
        <v>98820</v>
      </c>
      <c r="H18" s="160">
        <v>94714</v>
      </c>
      <c r="I18" s="162" t="s">
        <v>364</v>
      </c>
    </row>
    <row r="19" spans="1:13" ht="17" customHeight="1">
      <c r="A19" s="158"/>
      <c r="B19" s="158"/>
      <c r="C19" s="158" t="s">
        <v>15</v>
      </c>
      <c r="D19" s="158"/>
      <c r="E19" s="155">
        <v>20000</v>
      </c>
      <c r="F19" s="155"/>
      <c r="G19" s="166">
        <v>20000</v>
      </c>
      <c r="H19" s="160">
        <v>20000</v>
      </c>
      <c r="I19" s="162" t="s">
        <v>255</v>
      </c>
    </row>
    <row r="20" spans="1:13" ht="17" customHeight="1">
      <c r="A20" s="158"/>
      <c r="B20" s="158"/>
      <c r="C20" s="158" t="s">
        <v>57</v>
      </c>
      <c r="D20" s="158"/>
      <c r="E20" s="155">
        <v>5000</v>
      </c>
      <c r="F20" s="155"/>
      <c r="G20" s="166">
        <v>6202</v>
      </c>
      <c r="H20" s="160">
        <v>0</v>
      </c>
      <c r="I20" s="162" t="s">
        <v>576</v>
      </c>
    </row>
    <row r="21" spans="1:13" ht="17" customHeight="1">
      <c r="A21" s="120"/>
      <c r="B21" s="120" t="s">
        <v>16</v>
      </c>
      <c r="C21" s="120"/>
      <c r="D21" s="120"/>
      <c r="E21" s="163">
        <v>566541</v>
      </c>
      <c r="F21" s="163"/>
      <c r="G21" s="164">
        <f>SUM(G13:G20)</f>
        <v>462491.51</v>
      </c>
      <c r="H21" s="163">
        <f>SUM(H13:H20)</f>
        <v>448964</v>
      </c>
    </row>
    <row r="22" spans="1:13" ht="17" customHeight="1">
      <c r="A22" s="120" t="s">
        <v>17</v>
      </c>
      <c r="B22" s="120"/>
      <c r="C22" s="120"/>
      <c r="D22" s="120"/>
      <c r="E22" s="163">
        <v>1210841</v>
      </c>
      <c r="F22" s="163"/>
      <c r="G22" s="164">
        <f>G10+G21</f>
        <v>1076801.92</v>
      </c>
      <c r="H22" s="163">
        <f>H21+H10</f>
        <v>1190867</v>
      </c>
    </row>
    <row r="23" spans="1:13" ht="17" customHeight="1">
      <c r="A23" s="120"/>
      <c r="B23" s="120"/>
      <c r="C23" s="120"/>
      <c r="D23" s="120"/>
      <c r="E23" s="163"/>
      <c r="F23" s="163"/>
      <c r="G23" s="160"/>
      <c r="H23" s="160"/>
    </row>
    <row r="24" spans="1:13" ht="17" customHeight="1">
      <c r="A24" s="158"/>
      <c r="B24" s="158"/>
      <c r="C24" s="158"/>
      <c r="D24" s="158"/>
      <c r="E24" s="155"/>
      <c r="F24" s="155"/>
      <c r="G24" s="160"/>
      <c r="H24" s="160"/>
    </row>
    <row r="25" spans="1:13" ht="17" customHeight="1">
      <c r="A25" s="120" t="s">
        <v>18</v>
      </c>
      <c r="B25" s="120"/>
      <c r="C25" s="158"/>
      <c r="D25" s="158"/>
      <c r="E25" s="155"/>
      <c r="F25" s="155"/>
      <c r="G25" s="160"/>
      <c r="H25" s="160"/>
      <c r="M25" s="167"/>
    </row>
    <row r="26" spans="1:13" ht="17" customHeight="1">
      <c r="A26" s="120">
        <v>5000</v>
      </c>
      <c r="B26" s="120" t="s">
        <v>19</v>
      </c>
      <c r="C26" s="120"/>
      <c r="D26" s="120"/>
      <c r="E26" s="155"/>
      <c r="F26" s="155"/>
      <c r="G26" s="160"/>
      <c r="H26" s="160"/>
    </row>
    <row r="27" spans="1:13" ht="17" customHeight="1">
      <c r="A27" s="158"/>
      <c r="B27" s="158"/>
      <c r="C27" s="158" t="s">
        <v>20</v>
      </c>
      <c r="D27" s="158"/>
      <c r="E27" s="168">
        <v>530221</v>
      </c>
      <c r="F27" s="168"/>
      <c r="G27" s="166">
        <v>540494.76</v>
      </c>
      <c r="H27" s="155">
        <v>514370</v>
      </c>
      <c r="I27" s="169" t="s">
        <v>373</v>
      </c>
      <c r="J27" s="162" t="s">
        <v>491</v>
      </c>
    </row>
    <row r="28" spans="1:13" ht="17" customHeight="1">
      <c r="A28" s="158"/>
      <c r="B28" s="158"/>
      <c r="C28" s="158" t="s">
        <v>21</v>
      </c>
      <c r="D28" s="158"/>
      <c r="E28" s="168">
        <v>63627</v>
      </c>
      <c r="F28" s="168"/>
      <c r="G28" s="166">
        <v>55059.65</v>
      </c>
      <c r="H28" s="168">
        <f>'FY17 personnel'!O7</f>
        <v>47584.2</v>
      </c>
      <c r="I28" s="169" t="s">
        <v>492</v>
      </c>
      <c r="J28" s="162" t="s">
        <v>571</v>
      </c>
      <c r="L28" s="162"/>
    </row>
    <row r="29" spans="1:13" ht="17" customHeight="1">
      <c r="A29" s="158"/>
      <c r="B29" s="158"/>
      <c r="C29" s="158" t="s">
        <v>22</v>
      </c>
      <c r="D29" s="158"/>
      <c r="E29" s="168">
        <v>42418</v>
      </c>
      <c r="F29" s="168"/>
      <c r="G29" s="166">
        <v>42195.5</v>
      </c>
      <c r="H29" s="168">
        <f>H27*0.08</f>
        <v>41149.599999999999</v>
      </c>
      <c r="I29" s="169" t="s">
        <v>373</v>
      </c>
      <c r="J29" s="173" t="s">
        <v>491</v>
      </c>
    </row>
    <row r="30" spans="1:13" ht="17" customHeight="1">
      <c r="A30" s="120"/>
      <c r="B30" s="120" t="s">
        <v>23</v>
      </c>
      <c r="C30" s="120"/>
      <c r="D30" s="120"/>
      <c r="E30" s="170">
        <v>636266</v>
      </c>
      <c r="F30" s="170"/>
      <c r="G30" s="164">
        <f>SUM(G27:G29)</f>
        <v>637749.91</v>
      </c>
      <c r="H30" s="163">
        <f>SUM(H27:H29)</f>
        <v>603103.79999999993</v>
      </c>
    </row>
    <row r="31" spans="1:13" ht="17" customHeight="1">
      <c r="A31" s="158"/>
      <c r="B31" s="158"/>
      <c r="C31" s="158"/>
      <c r="D31" s="158"/>
      <c r="E31" s="155"/>
      <c r="F31" s="155"/>
      <c r="G31" s="160"/>
      <c r="H31" s="160"/>
    </row>
    <row r="32" spans="1:13" ht="17" customHeight="1">
      <c r="A32" s="120">
        <v>6000</v>
      </c>
      <c r="B32" s="120" t="s">
        <v>24</v>
      </c>
      <c r="C32" s="120"/>
      <c r="D32" s="120"/>
      <c r="E32" s="155"/>
      <c r="F32" s="155"/>
      <c r="G32" s="160"/>
      <c r="H32" s="160"/>
    </row>
    <row r="33" spans="1:12" ht="17" customHeight="1">
      <c r="A33" s="158"/>
      <c r="B33" s="158"/>
      <c r="C33" s="158" t="s">
        <v>25</v>
      </c>
      <c r="D33" s="158"/>
      <c r="E33" s="155">
        <v>42850</v>
      </c>
      <c r="F33" s="155"/>
      <c r="G33" s="160">
        <v>45806.7</v>
      </c>
      <c r="H33" s="161">
        <f>Artistic!E4</f>
        <v>52192</v>
      </c>
      <c r="I33" s="162" t="s">
        <v>598</v>
      </c>
      <c r="L33" s="171"/>
    </row>
    <row r="34" spans="1:12" ht="17" customHeight="1">
      <c r="A34" s="158"/>
      <c r="B34" s="158"/>
      <c r="C34" s="158" t="s">
        <v>26</v>
      </c>
      <c r="D34" s="158"/>
      <c r="E34" s="155">
        <v>52500</v>
      </c>
      <c r="F34" s="155"/>
      <c r="G34" s="160">
        <v>49903</v>
      </c>
      <c r="H34" s="160">
        <f>H5*0.14</f>
        <v>46536.000000000007</v>
      </c>
      <c r="I34" s="162" t="s">
        <v>374</v>
      </c>
    </row>
    <row r="35" spans="1:12" ht="17" customHeight="1">
      <c r="A35" s="158"/>
      <c r="B35" s="158"/>
      <c r="C35" s="158" t="s">
        <v>27</v>
      </c>
      <c r="D35" s="158"/>
      <c r="E35" s="155">
        <v>102700</v>
      </c>
      <c r="F35" s="155"/>
      <c r="G35" s="160">
        <v>102500.49</v>
      </c>
      <c r="H35" s="160">
        <f>'Travel (Goinz)'!K70</f>
        <v>79300</v>
      </c>
      <c r="I35" s="162" t="s">
        <v>459</v>
      </c>
    </row>
    <row r="36" spans="1:12" ht="17" customHeight="1">
      <c r="A36" s="158"/>
      <c r="B36" s="158"/>
      <c r="C36" s="158" t="s">
        <v>28</v>
      </c>
      <c r="D36" s="158"/>
      <c r="E36" s="155"/>
      <c r="F36" s="155"/>
      <c r="G36" s="160"/>
      <c r="H36" s="160">
        <v>3500</v>
      </c>
      <c r="I36" s="162" t="s">
        <v>99</v>
      </c>
    </row>
    <row r="37" spans="1:12" ht="17" customHeight="1">
      <c r="A37" s="158"/>
      <c r="B37" s="158"/>
      <c r="C37" s="158" t="s">
        <v>29</v>
      </c>
      <c r="D37" s="158"/>
      <c r="E37" s="155">
        <v>25850</v>
      </c>
      <c r="F37" s="155"/>
      <c r="G37" s="160">
        <v>18946</v>
      </c>
      <c r="H37" s="161">
        <f>Artistic!E18</f>
        <v>40360</v>
      </c>
      <c r="I37" s="162" t="s">
        <v>529</v>
      </c>
      <c r="L37" s="171"/>
    </row>
    <row r="38" spans="1:12" ht="17" customHeight="1">
      <c r="A38" s="158"/>
      <c r="B38" s="158"/>
      <c r="C38" s="158" t="s">
        <v>30</v>
      </c>
      <c r="D38" s="158"/>
      <c r="E38" s="155">
        <v>6000</v>
      </c>
      <c r="F38" s="155"/>
      <c r="G38" s="160">
        <v>4864</v>
      </c>
      <c r="H38" s="160">
        <f>Artistic!E30</f>
        <v>4700</v>
      </c>
    </row>
    <row r="39" spans="1:12" ht="17" customHeight="1">
      <c r="A39" s="158"/>
      <c r="B39" s="158"/>
      <c r="C39" s="158" t="s">
        <v>31</v>
      </c>
      <c r="D39" s="158"/>
      <c r="E39" s="155">
        <v>9500</v>
      </c>
      <c r="F39" s="155"/>
      <c r="G39" s="160">
        <v>5674</v>
      </c>
      <c r="H39" s="160">
        <f>Artistic!D35</f>
        <v>0</v>
      </c>
      <c r="I39" s="162" t="s">
        <v>375</v>
      </c>
    </row>
    <row r="40" spans="1:12" ht="17" customHeight="1">
      <c r="A40" s="158"/>
      <c r="B40" s="158"/>
      <c r="C40" s="158" t="s">
        <v>5</v>
      </c>
      <c r="D40" s="158"/>
      <c r="E40" s="155">
        <v>31615</v>
      </c>
      <c r="F40" s="155"/>
      <c r="G40" s="160">
        <v>15314.27</v>
      </c>
      <c r="H40" s="160">
        <f>Artistic!E37</f>
        <v>20999</v>
      </c>
      <c r="I40" s="162" t="s">
        <v>577</v>
      </c>
      <c r="L40" s="171"/>
    </row>
    <row r="41" spans="1:12" ht="17" customHeight="1">
      <c r="A41" s="158"/>
      <c r="B41" s="158"/>
      <c r="C41" s="158" t="s">
        <v>32</v>
      </c>
      <c r="D41" s="158"/>
      <c r="E41" s="155">
        <v>32060</v>
      </c>
      <c r="F41" s="155"/>
      <c r="G41" s="331">
        <f>12134.83+20000</f>
        <v>32134.83</v>
      </c>
      <c r="H41" s="161">
        <f>Artistic!E50</f>
        <v>27683</v>
      </c>
    </row>
    <row r="42" spans="1:12" ht="17" customHeight="1">
      <c r="A42" s="120"/>
      <c r="B42" s="120" t="s">
        <v>33</v>
      </c>
      <c r="C42" s="120"/>
      <c r="D42" s="120"/>
      <c r="E42" s="163">
        <v>303075</v>
      </c>
      <c r="F42" s="163"/>
      <c r="G42" s="164">
        <f>SUM(G33:G41)</f>
        <v>275143.28999999998</v>
      </c>
      <c r="H42" s="164">
        <f>SUM(H33:H41)</f>
        <v>275270</v>
      </c>
    </row>
    <row r="43" spans="1:12" ht="17" customHeight="1">
      <c r="A43" s="158"/>
      <c r="B43" s="158"/>
      <c r="C43" s="158"/>
      <c r="D43" s="158"/>
      <c r="E43" s="155"/>
      <c r="F43" s="155"/>
      <c r="G43" s="160"/>
      <c r="H43" s="160"/>
    </row>
    <row r="44" spans="1:12" ht="17" customHeight="1">
      <c r="A44" s="120">
        <v>7000</v>
      </c>
      <c r="B44" s="120" t="s">
        <v>34</v>
      </c>
      <c r="C44" s="120"/>
      <c r="D44" s="120"/>
      <c r="E44" s="155"/>
      <c r="F44" s="155"/>
      <c r="G44" s="160"/>
      <c r="H44" s="160"/>
    </row>
    <row r="45" spans="1:12" ht="17" customHeight="1">
      <c r="A45" s="158"/>
      <c r="B45" s="158"/>
      <c r="C45" s="158" t="s">
        <v>35</v>
      </c>
      <c r="D45" s="158"/>
      <c r="E45" s="155">
        <v>10000</v>
      </c>
      <c r="F45" s="155"/>
      <c r="G45" s="160">
        <v>5262.69</v>
      </c>
      <c r="H45" s="168">
        <f>SUM('Marketing (Carly)'!R3+Budget!Q4+'Marketing (Carly)'!R8+Budget!Q8)</f>
        <v>9900</v>
      </c>
      <c r="I45" s="162"/>
    </row>
    <row r="46" spans="1:12" ht="17" customHeight="1">
      <c r="A46" s="158"/>
      <c r="B46" s="158"/>
      <c r="C46" s="158" t="s">
        <v>36</v>
      </c>
      <c r="D46" s="158"/>
      <c r="E46" s="155">
        <v>33000</v>
      </c>
      <c r="F46" s="155"/>
      <c r="G46" s="160">
        <v>25684</v>
      </c>
      <c r="H46" s="168">
        <f>SUM('Marketing (Carly)'!R9+'Marketing (Carly)'!R14)</f>
        <v>31085</v>
      </c>
      <c r="I46" s="162" t="s">
        <v>564</v>
      </c>
    </row>
    <row r="47" spans="1:12" ht="17" customHeight="1">
      <c r="A47" s="158"/>
      <c r="B47" s="158"/>
      <c r="C47" s="158" t="s">
        <v>37</v>
      </c>
      <c r="D47" s="158"/>
      <c r="E47" s="155">
        <v>4700</v>
      </c>
      <c r="F47" s="155"/>
      <c r="G47" s="160">
        <v>4233</v>
      </c>
      <c r="H47" s="168">
        <f>'Marketing (Carly)'!R19</f>
        <v>3432</v>
      </c>
      <c r="I47" s="162" t="s">
        <v>531</v>
      </c>
    </row>
    <row r="48" spans="1:12" ht="17" customHeight="1">
      <c r="A48" s="158"/>
      <c r="B48" s="158"/>
      <c r="C48" s="158" t="s">
        <v>38</v>
      </c>
      <c r="D48" s="158"/>
      <c r="E48" s="155">
        <v>65000</v>
      </c>
      <c r="F48" s="155"/>
      <c r="G48" s="160">
        <v>60374.720000000001</v>
      </c>
      <c r="H48" s="168">
        <f>'Marketing (Carly)'!R23</f>
        <v>71464.5</v>
      </c>
      <c r="I48" s="282" t="s">
        <v>578</v>
      </c>
    </row>
    <row r="49" spans="1:12" ht="17" customHeight="1">
      <c r="A49" s="120"/>
      <c r="B49" s="120" t="s">
        <v>39</v>
      </c>
      <c r="C49" s="120"/>
      <c r="D49" s="120"/>
      <c r="E49" s="163">
        <v>112700</v>
      </c>
      <c r="F49" s="163"/>
      <c r="G49" s="164">
        <f>SUM(G45:G48)</f>
        <v>95554.41</v>
      </c>
      <c r="H49" s="172">
        <f>SUM(H45:H48)</f>
        <v>115881.5</v>
      </c>
    </row>
    <row r="50" spans="1:12" ht="17" customHeight="1">
      <c r="A50" s="158"/>
      <c r="B50" s="158"/>
      <c r="C50" s="158"/>
      <c r="D50" s="158"/>
      <c r="E50" s="155"/>
      <c r="F50" s="155"/>
      <c r="G50" s="160"/>
      <c r="H50" s="160"/>
    </row>
    <row r="51" spans="1:12" ht="17" customHeight="1">
      <c r="A51" s="120">
        <v>8000</v>
      </c>
      <c r="B51" s="120" t="s">
        <v>40</v>
      </c>
      <c r="C51" s="120"/>
      <c r="D51" s="120"/>
      <c r="E51" s="155"/>
      <c r="F51" s="155"/>
      <c r="G51" s="160"/>
      <c r="H51" s="160"/>
    </row>
    <row r="52" spans="1:12" ht="17" customHeight="1">
      <c r="A52" s="158"/>
      <c r="B52" s="158"/>
      <c r="C52" s="158" t="s">
        <v>442</v>
      </c>
      <c r="D52" s="158"/>
      <c r="E52" s="155">
        <v>3000</v>
      </c>
      <c r="F52" s="155"/>
      <c r="G52" s="160">
        <v>1162.57</v>
      </c>
      <c r="H52" s="168">
        <f>'Dev Exp (Carly)'!R4</f>
        <v>2255</v>
      </c>
      <c r="I52" s="162"/>
    </row>
    <row r="53" spans="1:12" ht="17" customHeight="1">
      <c r="A53" s="158"/>
      <c r="B53" s="158"/>
      <c r="C53" s="158" t="s">
        <v>41</v>
      </c>
      <c r="D53" s="158"/>
      <c r="E53" s="155">
        <v>35000</v>
      </c>
      <c r="F53" s="155"/>
      <c r="G53" s="160">
        <v>24296</v>
      </c>
      <c r="H53" s="168">
        <f>'Dev Exp (Carly)'!R10</f>
        <v>27752.29</v>
      </c>
    </row>
    <row r="54" spans="1:12" ht="17" customHeight="1">
      <c r="A54" s="158"/>
      <c r="B54" s="158"/>
      <c r="C54" s="158" t="s">
        <v>42</v>
      </c>
      <c r="D54" s="158"/>
      <c r="E54" s="155">
        <v>15000</v>
      </c>
      <c r="F54" s="155"/>
      <c r="G54" s="160">
        <v>24444.26</v>
      </c>
      <c r="H54" s="168">
        <f>'Dev Exp (Carly)'!R19</f>
        <v>14582</v>
      </c>
      <c r="I54" s="162"/>
    </row>
    <row r="55" spans="1:12" ht="17" customHeight="1">
      <c r="A55" s="120"/>
      <c r="B55" s="120" t="s">
        <v>43</v>
      </c>
      <c r="C55" s="120"/>
      <c r="D55" s="120"/>
      <c r="E55" s="163">
        <v>53000</v>
      </c>
      <c r="F55" s="163"/>
      <c r="G55" s="164">
        <f>SUM(G52:G54)</f>
        <v>49902.83</v>
      </c>
      <c r="H55" s="172">
        <f>SUM(H52:H54)</f>
        <v>44589.29</v>
      </c>
    </row>
    <row r="56" spans="1:12" ht="17" customHeight="1">
      <c r="A56" s="158"/>
      <c r="B56" s="158"/>
      <c r="C56" s="158"/>
      <c r="D56" s="158"/>
      <c r="E56" s="155"/>
      <c r="F56" s="155"/>
      <c r="G56" s="160"/>
      <c r="H56" s="160"/>
    </row>
    <row r="57" spans="1:12" ht="17" customHeight="1">
      <c r="A57" s="120">
        <v>9000</v>
      </c>
      <c r="B57" s="120" t="s">
        <v>44</v>
      </c>
      <c r="C57" s="120"/>
      <c r="D57" s="120"/>
      <c r="E57" s="155"/>
      <c r="F57" s="155"/>
      <c r="G57" s="160"/>
      <c r="H57" s="160"/>
    </row>
    <row r="58" spans="1:12" ht="17" customHeight="1">
      <c r="A58" s="158"/>
      <c r="B58" s="158"/>
      <c r="C58" s="158" t="s">
        <v>45</v>
      </c>
      <c r="D58" s="158"/>
      <c r="E58" s="155">
        <v>22010</v>
      </c>
      <c r="F58" s="155"/>
      <c r="G58" s="160">
        <v>30317</v>
      </c>
      <c r="H58" s="168">
        <f>Admin!E2</f>
        <v>30508</v>
      </c>
      <c r="I58" s="162" t="s">
        <v>485</v>
      </c>
    </row>
    <row r="59" spans="1:12" ht="17" customHeight="1">
      <c r="A59" s="158"/>
      <c r="B59" s="158"/>
      <c r="C59" s="158" t="s">
        <v>46</v>
      </c>
      <c r="D59" s="158"/>
      <c r="E59" s="155">
        <v>7600</v>
      </c>
      <c r="F59" s="155"/>
      <c r="G59" s="160">
        <v>9124.0300000000007</v>
      </c>
      <c r="H59" s="168">
        <v>7950</v>
      </c>
    </row>
    <row r="60" spans="1:12" ht="17" customHeight="1">
      <c r="A60" s="158"/>
      <c r="B60" s="158"/>
      <c r="C60" s="158" t="s">
        <v>47</v>
      </c>
      <c r="D60" s="158"/>
      <c r="E60" s="155">
        <v>24745</v>
      </c>
      <c r="F60" s="155"/>
      <c r="G60" s="160">
        <v>24807</v>
      </c>
      <c r="H60" s="168">
        <v>25116</v>
      </c>
    </row>
    <row r="61" spans="1:12" ht="17" customHeight="1">
      <c r="A61" s="158"/>
      <c r="B61" s="158"/>
      <c r="C61" s="158" t="s">
        <v>48</v>
      </c>
      <c r="D61" s="158"/>
      <c r="E61" s="155">
        <v>4800</v>
      </c>
      <c r="F61" s="155"/>
      <c r="G61" s="160">
        <v>4365.37</v>
      </c>
      <c r="H61" s="168">
        <v>4800</v>
      </c>
    </row>
    <row r="62" spans="1:12" ht="17" customHeight="1">
      <c r="A62" s="158"/>
      <c r="B62" s="158"/>
      <c r="C62" s="158" t="s">
        <v>49</v>
      </c>
      <c r="D62" s="158"/>
      <c r="E62" s="155">
        <v>32700</v>
      </c>
      <c r="F62" s="155"/>
      <c r="G62" s="160">
        <v>50015.4</v>
      </c>
      <c r="H62" s="168">
        <f>Admin!E15</f>
        <v>68400</v>
      </c>
      <c r="I62" s="162" t="s">
        <v>487</v>
      </c>
    </row>
    <row r="63" spans="1:12" ht="17" customHeight="1">
      <c r="A63" s="158"/>
      <c r="B63" s="158"/>
      <c r="C63" s="158" t="s">
        <v>50</v>
      </c>
      <c r="D63" s="158"/>
      <c r="E63" s="155">
        <v>8700</v>
      </c>
      <c r="F63" s="155"/>
      <c r="G63" s="160">
        <v>6675.37</v>
      </c>
      <c r="H63" s="168">
        <f>Admin!E20</f>
        <v>9332</v>
      </c>
      <c r="I63" s="173"/>
      <c r="L63" s="171"/>
    </row>
    <row r="64" spans="1:12" ht="17" customHeight="1">
      <c r="A64" s="158"/>
      <c r="B64" s="158"/>
      <c r="C64" s="158" t="s">
        <v>108</v>
      </c>
      <c r="D64" s="158"/>
      <c r="E64" s="155">
        <v>5215</v>
      </c>
      <c r="F64" s="155"/>
      <c r="G64" s="160">
        <v>13501.72</v>
      </c>
      <c r="H64" s="168">
        <f>Admin!E27</f>
        <v>5916</v>
      </c>
      <c r="I64" s="162" t="s">
        <v>580</v>
      </c>
    </row>
    <row r="65" spans="1:8" ht="17" customHeight="1">
      <c r="A65" s="120"/>
      <c r="B65" s="120" t="s">
        <v>51</v>
      </c>
      <c r="C65" s="120"/>
      <c r="D65" s="120"/>
      <c r="E65" s="163">
        <v>105770</v>
      </c>
      <c r="F65" s="163"/>
      <c r="G65" s="164">
        <f>SUM(G58:G64)</f>
        <v>138805.88999999998</v>
      </c>
      <c r="H65" s="172">
        <f>SUM(H58:H64)</f>
        <v>152022</v>
      </c>
    </row>
    <row r="66" spans="1:8" ht="17" customHeight="1">
      <c r="A66" s="158"/>
      <c r="B66" s="158"/>
      <c r="C66" s="158"/>
      <c r="D66" s="158"/>
      <c r="E66" s="155"/>
      <c r="F66" s="155"/>
      <c r="G66" s="160"/>
      <c r="H66" s="160"/>
    </row>
    <row r="67" spans="1:8" ht="17" customHeight="1">
      <c r="A67" s="120" t="s">
        <v>52</v>
      </c>
      <c r="B67" s="120"/>
      <c r="C67" s="120"/>
      <c r="D67" s="120"/>
      <c r="E67" s="163">
        <v>1210811</v>
      </c>
      <c r="F67" s="163">
        <v>1210811</v>
      </c>
      <c r="G67" s="163">
        <f>G65+G55+G49+G42+G30</f>
        <v>1197156.33</v>
      </c>
      <c r="H67" s="164">
        <f>H65+H55+H49+H42+H30</f>
        <v>1190866.5899999999</v>
      </c>
    </row>
    <row r="68" spans="1:8" ht="17" customHeight="1">
      <c r="A68" s="158"/>
      <c r="B68" s="158"/>
      <c r="C68" s="158"/>
      <c r="D68" s="158"/>
      <c r="E68" s="155"/>
      <c r="F68" s="155"/>
      <c r="G68" s="160"/>
      <c r="H68" s="160"/>
    </row>
    <row r="69" spans="1:8" ht="17" customHeight="1">
      <c r="A69" s="120" t="s">
        <v>53</v>
      </c>
      <c r="B69" s="120"/>
      <c r="C69" s="120"/>
      <c r="D69" s="120"/>
      <c r="E69" s="163">
        <v>30</v>
      </c>
      <c r="F69" s="163"/>
      <c r="G69" s="164">
        <f>G22-G67</f>
        <v>-120354.41000000015</v>
      </c>
      <c r="H69" s="164">
        <f>H22-H67</f>
        <v>0.41000000014901161</v>
      </c>
    </row>
    <row r="70" spans="1:8" ht="17" customHeight="1">
      <c r="G70" s="165"/>
      <c r="H70" s="165"/>
    </row>
    <row r="71" spans="1:8" ht="17" customHeight="1">
      <c r="G71" s="165"/>
    </row>
    <row r="72" spans="1:8" ht="17" customHeight="1">
      <c r="G72" s="165"/>
    </row>
    <row r="73" spans="1:8" ht="17" customHeight="1">
      <c r="G73" s="165"/>
    </row>
    <row r="74" spans="1:8" ht="17" customHeight="1">
      <c r="G74" s="165"/>
    </row>
  </sheetData>
  <phoneticPr fontId="17" type="noConversion"/>
  <pageMargins left="0.75" right="0.75" top="1" bottom="1" header="0.5" footer="0.5"/>
  <pageSetup orientation="landscape" horizontalDpi="4294967292" verticalDpi="4294967292"/>
  <rowBreaks count="1" manualBreakCount="1">
    <brk id="22" max="16383" man="1"/>
  </rowBreaks>
  <ignoredErrors>
    <ignoredError sqref="H11:H12 H50:H51 H56:H57 H43:H44 H19 H31:H32 H23:H2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workbookViewId="0">
      <selection activeCell="P21" sqref="P21"/>
    </sheetView>
  </sheetViews>
  <sheetFormatPr baseColWidth="10" defaultColWidth="11" defaultRowHeight="15" customHeight="1" x14ac:dyDescent="0"/>
  <cols>
    <col min="1" max="1" width="3.6640625" style="91" customWidth="1"/>
    <col min="2" max="2" width="11" style="91"/>
    <col min="3" max="3" width="21.83203125" style="91" customWidth="1"/>
    <col min="4" max="4" width="1" style="91" customWidth="1"/>
    <col min="5" max="5" width="14.83203125" style="91" customWidth="1"/>
    <col min="6" max="16384" width="11" style="91"/>
  </cols>
  <sheetData>
    <row r="1" spans="1:18" ht="15" customHeight="1">
      <c r="Q1" s="188"/>
      <c r="R1" s="258"/>
    </row>
    <row r="2" spans="1:18" ht="15" customHeight="1">
      <c r="E2" s="91" t="s">
        <v>83</v>
      </c>
      <c r="F2" s="91" t="s">
        <v>84</v>
      </c>
      <c r="G2" s="91" t="s">
        <v>85</v>
      </c>
      <c r="H2" s="91" t="s">
        <v>86</v>
      </c>
      <c r="I2" s="91" t="s">
        <v>87</v>
      </c>
      <c r="J2" s="91" t="s">
        <v>88</v>
      </c>
      <c r="K2" s="91" t="s">
        <v>89</v>
      </c>
      <c r="L2" s="91" t="s">
        <v>90</v>
      </c>
      <c r="M2" s="91" t="s">
        <v>91</v>
      </c>
      <c r="N2" s="91" t="s">
        <v>92</v>
      </c>
      <c r="O2" s="91" t="s">
        <v>440</v>
      </c>
      <c r="P2" s="91" t="s">
        <v>94</v>
      </c>
      <c r="Q2" s="188"/>
      <c r="R2" s="259" t="s">
        <v>441</v>
      </c>
    </row>
    <row r="3" spans="1:18" ht="15" customHeight="1">
      <c r="A3" s="260" t="s">
        <v>40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1"/>
      <c r="M3" s="261"/>
      <c r="N3" s="261"/>
      <c r="O3" s="261"/>
      <c r="P3" s="261"/>
      <c r="Q3" s="261"/>
      <c r="R3" s="259"/>
    </row>
    <row r="4" spans="1:18" ht="15" customHeight="1">
      <c r="A4" s="260"/>
      <c r="B4" s="260" t="s">
        <v>442</v>
      </c>
      <c r="C4" s="260"/>
      <c r="D4" s="260"/>
      <c r="E4" s="262">
        <f t="shared" ref="E4:L4" si="0">SUM(E5:E9)</f>
        <v>100</v>
      </c>
      <c r="F4" s="262">
        <f t="shared" si="0"/>
        <v>1350</v>
      </c>
      <c r="G4" s="262">
        <f t="shared" si="0"/>
        <v>50</v>
      </c>
      <c r="H4" s="262">
        <f t="shared" si="0"/>
        <v>50</v>
      </c>
      <c r="I4" s="262">
        <f t="shared" si="0"/>
        <v>50</v>
      </c>
      <c r="J4" s="262">
        <f t="shared" si="0"/>
        <v>50</v>
      </c>
      <c r="K4" s="262">
        <f t="shared" si="0"/>
        <v>50</v>
      </c>
      <c r="L4" s="261">
        <f t="shared" si="0"/>
        <v>325</v>
      </c>
      <c r="M4" s="261">
        <f>SUM(M5:M9)</f>
        <v>50</v>
      </c>
      <c r="N4" s="261">
        <f>SUM(N5:N9)</f>
        <v>80</v>
      </c>
      <c r="O4" s="261">
        <f>SUM(O5:O9)</f>
        <v>50</v>
      </c>
      <c r="P4" s="261">
        <f>SUM(P5:P9)</f>
        <v>50</v>
      </c>
      <c r="Q4" s="261"/>
      <c r="R4" s="263">
        <f>SUM(E4:P4)</f>
        <v>2255</v>
      </c>
    </row>
    <row r="5" spans="1:18" ht="15" customHeight="1">
      <c r="A5" s="264"/>
      <c r="B5" s="264"/>
      <c r="C5" s="264" t="s">
        <v>443</v>
      </c>
      <c r="D5" s="264"/>
      <c r="E5" s="265">
        <f>50</f>
        <v>50</v>
      </c>
      <c r="F5" s="265">
        <f>650+50</f>
        <v>700</v>
      </c>
      <c r="G5" s="265">
        <v>50</v>
      </c>
      <c r="H5" s="265">
        <v>50</v>
      </c>
      <c r="I5" s="265">
        <v>50</v>
      </c>
      <c r="J5" s="265">
        <v>50</v>
      </c>
      <c r="K5" s="265">
        <v>50</v>
      </c>
      <c r="L5" s="266">
        <f>50+200</f>
        <v>250</v>
      </c>
      <c r="M5" s="266">
        <v>50</v>
      </c>
      <c r="N5" s="266">
        <v>50</v>
      </c>
      <c r="O5" s="266">
        <f>50</f>
        <v>50</v>
      </c>
      <c r="P5" s="266">
        <f>50</f>
        <v>50</v>
      </c>
      <c r="Q5" s="266"/>
      <c r="R5" s="259"/>
    </row>
    <row r="6" spans="1:18" ht="15" customHeight="1">
      <c r="A6" s="264"/>
      <c r="B6" s="264"/>
      <c r="C6" s="264" t="s">
        <v>444</v>
      </c>
      <c r="D6" s="264"/>
      <c r="E6" s="265">
        <v>50</v>
      </c>
      <c r="F6" s="265"/>
      <c r="G6" s="265"/>
      <c r="H6" s="265"/>
      <c r="I6" s="265"/>
      <c r="J6" s="265"/>
      <c r="K6" s="265"/>
      <c r="L6" s="266"/>
      <c r="M6" s="266"/>
      <c r="N6" s="266">
        <f>30</f>
        <v>30</v>
      </c>
      <c r="O6" s="266"/>
      <c r="P6" s="266"/>
      <c r="Q6" s="266"/>
      <c r="R6" s="259"/>
    </row>
    <row r="7" spans="1:18" ht="15" customHeight="1">
      <c r="A7" s="264"/>
      <c r="B7" s="264"/>
      <c r="C7" s="264" t="s">
        <v>445</v>
      </c>
      <c r="D7" s="264"/>
      <c r="E7" s="265"/>
      <c r="F7" s="265"/>
      <c r="G7" s="265"/>
      <c r="H7" s="265"/>
      <c r="I7" s="265"/>
      <c r="J7" s="265"/>
      <c r="K7" s="265"/>
      <c r="L7" s="266"/>
      <c r="M7" s="266"/>
      <c r="N7" s="266"/>
      <c r="O7" s="266"/>
      <c r="P7" s="266"/>
      <c r="Q7" s="266"/>
      <c r="R7" s="259"/>
    </row>
    <row r="8" spans="1:18" ht="15" customHeight="1">
      <c r="A8" s="264"/>
      <c r="B8" s="264"/>
      <c r="C8" s="264" t="s">
        <v>446</v>
      </c>
      <c r="D8" s="264"/>
      <c r="E8" s="265"/>
      <c r="F8" s="265"/>
      <c r="G8" s="265"/>
      <c r="H8" s="265"/>
      <c r="I8" s="265"/>
      <c r="J8" s="265"/>
      <c r="K8" s="265"/>
      <c r="L8" s="266">
        <v>75</v>
      </c>
      <c r="M8" s="266"/>
      <c r="N8" s="266"/>
      <c r="O8" s="266"/>
      <c r="P8" s="266"/>
      <c r="Q8" s="266"/>
      <c r="R8" s="259"/>
    </row>
    <row r="9" spans="1:18" ht="15" customHeight="1">
      <c r="A9" s="264"/>
      <c r="B9" s="264"/>
      <c r="C9" s="264" t="s">
        <v>7</v>
      </c>
      <c r="D9" s="264"/>
      <c r="E9" s="265"/>
      <c r="F9" s="265">
        <v>650</v>
      </c>
      <c r="G9" s="265"/>
      <c r="H9" s="265"/>
      <c r="I9" s="265"/>
      <c r="J9" s="265"/>
      <c r="K9" s="265"/>
      <c r="L9" s="266">
        <v>0</v>
      </c>
      <c r="M9" s="266">
        <v>0</v>
      </c>
      <c r="N9" s="266">
        <v>0</v>
      </c>
      <c r="O9" s="266">
        <v>0</v>
      </c>
      <c r="P9" s="266">
        <v>0</v>
      </c>
      <c r="Q9" s="266"/>
      <c r="R9" s="259"/>
    </row>
    <row r="10" spans="1:18" ht="15" customHeight="1">
      <c r="A10" s="260"/>
      <c r="B10" s="260" t="s">
        <v>41</v>
      </c>
      <c r="C10" s="260"/>
      <c r="D10" s="260"/>
      <c r="E10" s="262">
        <f t="shared" ref="E10:P10" si="1">SUM(E11:E18)</f>
        <v>1125</v>
      </c>
      <c r="F10" s="262">
        <f t="shared" si="1"/>
        <v>0</v>
      </c>
      <c r="G10" s="262">
        <f t="shared" si="1"/>
        <v>120</v>
      </c>
      <c r="H10" s="262">
        <f t="shared" si="1"/>
        <v>0</v>
      </c>
      <c r="I10" s="262">
        <f t="shared" si="1"/>
        <v>0</v>
      </c>
      <c r="J10" s="262">
        <f t="shared" si="1"/>
        <v>383.64</v>
      </c>
      <c r="K10" s="262">
        <f t="shared" si="1"/>
        <v>380</v>
      </c>
      <c r="L10" s="261">
        <f t="shared" si="1"/>
        <v>1475</v>
      </c>
      <c r="M10" s="261">
        <f t="shared" si="1"/>
        <v>675</v>
      </c>
      <c r="N10" s="261">
        <f t="shared" si="1"/>
        <v>22843.65</v>
      </c>
      <c r="O10" s="261">
        <f t="shared" si="1"/>
        <v>250</v>
      </c>
      <c r="P10" s="261">
        <f t="shared" si="1"/>
        <v>500</v>
      </c>
      <c r="Q10" s="261"/>
      <c r="R10" s="263">
        <f>SUM(E10:P10)</f>
        <v>27752.29</v>
      </c>
    </row>
    <row r="11" spans="1:18" ht="15" customHeight="1">
      <c r="A11" s="264"/>
      <c r="B11" s="264"/>
      <c r="C11" s="264" t="s">
        <v>447</v>
      </c>
      <c r="D11" s="264"/>
      <c r="E11" s="265">
        <v>1125</v>
      </c>
      <c r="F11" s="265"/>
      <c r="G11" s="265"/>
      <c r="H11" s="265"/>
      <c r="I11" s="265"/>
      <c r="J11" s="265"/>
      <c r="K11" s="265"/>
      <c r="L11" s="266">
        <v>1125</v>
      </c>
      <c r="M11" s="266"/>
      <c r="N11" s="266">
        <f>4000+850+150</f>
        <v>5000</v>
      </c>
      <c r="O11" s="266"/>
      <c r="P11" s="266"/>
      <c r="Q11" s="266"/>
      <c r="R11" s="259"/>
    </row>
    <row r="12" spans="1:18" ht="15" customHeight="1">
      <c r="A12" s="264"/>
      <c r="B12" s="264"/>
      <c r="C12" s="264" t="s">
        <v>443</v>
      </c>
      <c r="D12" s="264"/>
      <c r="E12" s="265"/>
      <c r="F12" s="265"/>
      <c r="G12" s="265">
        <v>120</v>
      </c>
      <c r="H12" s="265"/>
      <c r="I12" s="265"/>
      <c r="J12" s="265"/>
      <c r="K12" s="265">
        <v>100</v>
      </c>
      <c r="L12" s="266"/>
      <c r="M12" s="266">
        <f>50</f>
        <v>50</v>
      </c>
      <c r="N12" s="266">
        <f>11000+1000</f>
        <v>12000</v>
      </c>
      <c r="O12" s="266"/>
      <c r="P12" s="266"/>
      <c r="Q12" s="266"/>
      <c r="R12" s="259"/>
    </row>
    <row r="13" spans="1:18" ht="15" customHeight="1">
      <c r="A13" s="264"/>
      <c r="B13" s="264"/>
      <c r="C13" s="264" t="s">
        <v>29</v>
      </c>
      <c r="D13" s="264"/>
      <c r="E13" s="265"/>
      <c r="F13" s="265"/>
      <c r="G13" s="265"/>
      <c r="H13" s="265"/>
      <c r="I13" s="265"/>
      <c r="J13" s="265"/>
      <c r="K13" s="265"/>
      <c r="L13" s="266">
        <f>200+40</f>
        <v>240</v>
      </c>
      <c r="M13" s="266">
        <v>500</v>
      </c>
      <c r="N13" s="266">
        <f>1600+2250</f>
        <v>3850</v>
      </c>
      <c r="O13" s="266"/>
      <c r="P13" s="266"/>
      <c r="Q13" s="266"/>
      <c r="R13" s="259"/>
    </row>
    <row r="14" spans="1:18" ht="15" customHeight="1">
      <c r="A14" s="264"/>
      <c r="B14" s="264"/>
      <c r="C14" s="264" t="s">
        <v>448</v>
      </c>
      <c r="D14" s="264"/>
      <c r="E14" s="265"/>
      <c r="F14" s="265"/>
      <c r="G14" s="265"/>
      <c r="H14" s="265"/>
      <c r="I14" s="265"/>
      <c r="J14" s="265"/>
      <c r="K14" s="265">
        <v>65</v>
      </c>
      <c r="L14" s="266"/>
      <c r="M14" s="266">
        <v>100</v>
      </c>
      <c r="N14" s="266">
        <v>50</v>
      </c>
      <c r="O14" s="266"/>
      <c r="P14" s="266"/>
      <c r="Q14" s="266"/>
      <c r="R14" s="259"/>
    </row>
    <row r="15" spans="1:18" ht="15" customHeight="1">
      <c r="A15" s="264"/>
      <c r="B15" s="264"/>
      <c r="C15" s="264" t="s">
        <v>449</v>
      </c>
      <c r="D15" s="264"/>
      <c r="E15" s="265"/>
      <c r="F15" s="265"/>
      <c r="G15" s="265"/>
      <c r="H15" s="265"/>
      <c r="I15" s="265"/>
      <c r="J15" s="265"/>
      <c r="K15" s="265">
        <v>215</v>
      </c>
      <c r="L15" s="266"/>
      <c r="M15" s="266"/>
      <c r="N15" s="266"/>
      <c r="O15" s="266"/>
      <c r="P15" s="266"/>
      <c r="Q15" s="266"/>
      <c r="R15" s="259"/>
    </row>
    <row r="16" spans="1:18" ht="15" customHeight="1">
      <c r="A16" s="264"/>
      <c r="B16" s="264"/>
      <c r="C16" s="264" t="s">
        <v>450</v>
      </c>
      <c r="D16" s="264"/>
      <c r="E16" s="265"/>
      <c r="F16" s="265"/>
      <c r="G16" s="265"/>
      <c r="H16" s="265"/>
      <c r="I16" s="265"/>
      <c r="J16" s="265"/>
      <c r="K16" s="265"/>
      <c r="L16" s="266">
        <v>110</v>
      </c>
      <c r="M16" s="266"/>
      <c r="N16" s="266">
        <v>410</v>
      </c>
      <c r="O16" s="266"/>
      <c r="P16" s="266"/>
      <c r="Q16" s="266"/>
      <c r="R16" s="259"/>
    </row>
    <row r="17" spans="1:18" ht="15" customHeight="1">
      <c r="A17" s="264"/>
      <c r="B17" s="264"/>
      <c r="C17" s="264" t="s">
        <v>451</v>
      </c>
      <c r="D17" s="264"/>
      <c r="E17" s="265"/>
      <c r="F17" s="265"/>
      <c r="G17" s="265"/>
      <c r="H17" s="265"/>
      <c r="I17" s="265"/>
      <c r="J17" s="265"/>
      <c r="K17" s="265"/>
      <c r="L17" s="266"/>
      <c r="M17" s="266"/>
      <c r="N17" s="266"/>
      <c r="O17" s="266"/>
      <c r="P17" s="266"/>
      <c r="Q17" s="266"/>
      <c r="R17" s="259"/>
    </row>
    <row r="18" spans="1:18" ht="15" customHeight="1">
      <c r="A18" s="264"/>
      <c r="B18" s="264"/>
      <c r="C18" s="264" t="s">
        <v>7</v>
      </c>
      <c r="D18" s="264"/>
      <c r="E18" s="265"/>
      <c r="F18" s="265"/>
      <c r="G18" s="265"/>
      <c r="H18" s="265"/>
      <c r="I18" s="265"/>
      <c r="J18" s="265">
        <v>383.64</v>
      </c>
      <c r="K18" s="265"/>
      <c r="L18" s="266"/>
      <c r="M18" s="266">
        <v>25</v>
      </c>
      <c r="N18" s="266">
        <v>1533.65</v>
      </c>
      <c r="O18" s="266">
        <v>250</v>
      </c>
      <c r="P18" s="266">
        <v>500</v>
      </c>
      <c r="Q18" s="266"/>
      <c r="R18" s="259"/>
    </row>
    <row r="19" spans="1:18" ht="15" customHeight="1">
      <c r="A19" s="260"/>
      <c r="B19" s="260" t="s">
        <v>42</v>
      </c>
      <c r="C19" s="260"/>
      <c r="D19" s="260"/>
      <c r="E19" s="262">
        <f t="shared" ref="E19:P19" si="2">SUM(E20:E26)</f>
        <v>0</v>
      </c>
      <c r="F19" s="262">
        <f t="shared" si="2"/>
        <v>4750</v>
      </c>
      <c r="G19" s="262">
        <f t="shared" si="2"/>
        <v>88</v>
      </c>
      <c r="H19" s="262">
        <f t="shared" si="2"/>
        <v>1920</v>
      </c>
      <c r="I19" s="262">
        <f t="shared" si="2"/>
        <v>1718</v>
      </c>
      <c r="J19" s="262">
        <f t="shared" si="2"/>
        <v>500</v>
      </c>
      <c r="K19" s="262">
        <f t="shared" si="2"/>
        <v>0</v>
      </c>
      <c r="L19" s="261">
        <f t="shared" si="2"/>
        <v>0</v>
      </c>
      <c r="M19" s="261">
        <f t="shared" si="2"/>
        <v>1693</v>
      </c>
      <c r="N19" s="261">
        <f t="shared" si="2"/>
        <v>0</v>
      </c>
      <c r="O19" s="261">
        <f t="shared" si="2"/>
        <v>1800</v>
      </c>
      <c r="P19" s="261">
        <f t="shared" si="2"/>
        <v>2113</v>
      </c>
      <c r="Q19" s="261"/>
      <c r="R19" s="263">
        <f>SUM(E19:P19)</f>
        <v>14582</v>
      </c>
    </row>
    <row r="20" spans="1:18" ht="15" customHeight="1">
      <c r="A20" s="264"/>
      <c r="B20" s="264"/>
      <c r="C20" s="264" t="s">
        <v>452</v>
      </c>
      <c r="D20" s="264"/>
      <c r="E20" s="265"/>
      <c r="F20" s="265">
        <f>600+1500+500+200+200</f>
        <v>3000</v>
      </c>
      <c r="G20" s="265"/>
      <c r="H20" s="265">
        <f>120+120</f>
        <v>240</v>
      </c>
      <c r="I20" s="265"/>
      <c r="J20" s="265">
        <f>500</f>
        <v>500</v>
      </c>
      <c r="K20" s="265"/>
      <c r="L20" s="266">
        <v>0</v>
      </c>
      <c r="M20" s="266">
        <v>0</v>
      </c>
      <c r="N20" s="266">
        <v>0</v>
      </c>
      <c r="O20" s="266">
        <v>120</v>
      </c>
      <c r="P20" s="266">
        <v>200</v>
      </c>
      <c r="Q20" s="266"/>
      <c r="R20" s="258"/>
    </row>
    <row r="21" spans="1:18" ht="15" customHeight="1">
      <c r="A21" s="264"/>
      <c r="B21" s="264"/>
      <c r="C21" s="264" t="s">
        <v>449</v>
      </c>
      <c r="D21" s="264"/>
      <c r="E21" s="265"/>
      <c r="F21" s="265"/>
      <c r="G21" s="265">
        <v>38</v>
      </c>
      <c r="H21" s="265">
        <v>615</v>
      </c>
      <c r="I21" s="265">
        <f>615+38</f>
        <v>653</v>
      </c>
      <c r="J21" s="265"/>
      <c r="K21" s="265"/>
      <c r="L21" s="266"/>
      <c r="M21" s="266">
        <f>615+38</f>
        <v>653</v>
      </c>
      <c r="N21" s="266"/>
      <c r="O21" s="266">
        <v>615</v>
      </c>
      <c r="P21" s="266">
        <f>600+38</f>
        <v>638</v>
      </c>
      <c r="Q21" s="266"/>
      <c r="R21" s="258"/>
    </row>
    <row r="22" spans="1:18" ht="15" customHeight="1">
      <c r="A22" s="264"/>
      <c r="B22" s="264"/>
      <c r="C22" s="264" t="s">
        <v>453</v>
      </c>
      <c r="D22" s="264"/>
      <c r="E22" s="265"/>
      <c r="F22" s="265"/>
      <c r="G22" s="265"/>
      <c r="H22" s="265">
        <v>1015</v>
      </c>
      <c r="I22" s="265">
        <v>1015</v>
      </c>
      <c r="J22" s="265"/>
      <c r="K22" s="265"/>
      <c r="L22" s="266"/>
      <c r="M22" s="266">
        <v>1015</v>
      </c>
      <c r="N22" s="188"/>
      <c r="O22" s="266">
        <v>1015</v>
      </c>
      <c r="P22" s="266">
        <f>450</f>
        <v>450</v>
      </c>
      <c r="Q22" s="266"/>
      <c r="R22" s="258"/>
    </row>
    <row r="23" spans="1:18" ht="15" customHeight="1">
      <c r="A23" s="264"/>
      <c r="B23" s="264"/>
      <c r="C23" s="264" t="s">
        <v>446</v>
      </c>
      <c r="D23" s="264"/>
      <c r="E23" s="265"/>
      <c r="F23" s="265">
        <f>650+400+200+500</f>
        <v>1750</v>
      </c>
      <c r="G23" s="265"/>
      <c r="H23" s="265"/>
      <c r="I23" s="265"/>
      <c r="J23" s="265"/>
      <c r="K23" s="265"/>
      <c r="L23" s="266"/>
      <c r="M23" s="266"/>
      <c r="N23" s="266"/>
      <c r="O23" s="266"/>
      <c r="P23" s="266">
        <v>775</v>
      </c>
      <c r="Q23" s="266"/>
      <c r="R23" s="258"/>
    </row>
    <row r="24" spans="1:18" ht="15" customHeight="1">
      <c r="A24" s="264"/>
      <c r="B24" s="264"/>
      <c r="C24" s="264" t="s">
        <v>454</v>
      </c>
      <c r="D24" s="264"/>
      <c r="E24" s="265"/>
      <c r="F24" s="265"/>
      <c r="G24" s="265"/>
      <c r="H24" s="265"/>
      <c r="I24" s="265"/>
      <c r="J24" s="265"/>
      <c r="K24" s="265"/>
      <c r="L24" s="266"/>
      <c r="M24" s="266"/>
      <c r="N24" s="266"/>
      <c r="O24" s="266"/>
      <c r="P24" s="266"/>
      <c r="Q24" s="266"/>
      <c r="R24" s="258"/>
    </row>
    <row r="25" spans="1:18" ht="15" customHeight="1">
      <c r="A25" s="267"/>
      <c r="B25" s="267"/>
      <c r="C25" s="267" t="s">
        <v>455</v>
      </c>
      <c r="D25" s="267"/>
      <c r="E25" s="268"/>
      <c r="F25" s="268"/>
      <c r="G25" s="268"/>
      <c r="H25" s="268"/>
      <c r="I25" s="268"/>
      <c r="J25" s="268"/>
      <c r="K25" s="268"/>
      <c r="L25" s="266">
        <v>0</v>
      </c>
      <c r="M25" s="266">
        <v>0</v>
      </c>
      <c r="N25" s="266">
        <v>0</v>
      </c>
      <c r="O25" s="266">
        <v>0</v>
      </c>
      <c r="P25" s="266">
        <v>0</v>
      </c>
      <c r="Q25" s="266"/>
      <c r="R25" s="258"/>
    </row>
    <row r="26" spans="1:18" ht="15" customHeight="1">
      <c r="A26" s="264"/>
      <c r="B26" s="264"/>
      <c r="C26" s="264" t="s">
        <v>7</v>
      </c>
      <c r="D26" s="264"/>
      <c r="E26" s="265"/>
      <c r="F26" s="265"/>
      <c r="G26" s="265">
        <v>50</v>
      </c>
      <c r="H26" s="265">
        <v>50</v>
      </c>
      <c r="I26" s="265">
        <v>50</v>
      </c>
      <c r="J26" s="265"/>
      <c r="K26" s="265"/>
      <c r="L26" s="266"/>
      <c r="M26" s="266">
        <v>25</v>
      </c>
      <c r="N26" s="266"/>
      <c r="O26" s="266">
        <v>50</v>
      </c>
      <c r="P26" s="266">
        <v>50</v>
      </c>
      <c r="Q26" s="266"/>
      <c r="R26" s="258"/>
    </row>
    <row r="27" spans="1:18" ht="15" customHeight="1">
      <c r="A27" s="260" t="s">
        <v>456</v>
      </c>
      <c r="B27" s="260"/>
      <c r="C27" s="260"/>
      <c r="D27" s="260"/>
      <c r="E27" s="262">
        <f t="shared" ref="E27:P27" si="3">E4+E10+E19</f>
        <v>1225</v>
      </c>
      <c r="F27" s="262">
        <f t="shared" si="3"/>
        <v>6100</v>
      </c>
      <c r="G27" s="262">
        <f t="shared" si="3"/>
        <v>258</v>
      </c>
      <c r="H27" s="262">
        <f t="shared" si="3"/>
        <v>1970</v>
      </c>
      <c r="I27" s="262">
        <f t="shared" si="3"/>
        <v>1768</v>
      </c>
      <c r="J27" s="262">
        <f t="shared" si="3"/>
        <v>933.64</v>
      </c>
      <c r="K27" s="262">
        <f t="shared" si="3"/>
        <v>430</v>
      </c>
      <c r="L27" s="261">
        <f t="shared" si="3"/>
        <v>1800</v>
      </c>
      <c r="M27" s="261">
        <f t="shared" si="3"/>
        <v>2418</v>
      </c>
      <c r="N27" s="261">
        <f t="shared" si="3"/>
        <v>22923.65</v>
      </c>
      <c r="O27" s="261">
        <f t="shared" si="3"/>
        <v>2100</v>
      </c>
      <c r="P27" s="261">
        <f t="shared" si="3"/>
        <v>2663</v>
      </c>
      <c r="Q27" s="261"/>
      <c r="R27" s="258"/>
    </row>
    <row r="28" spans="1:18" ht="15" customHeight="1">
      <c r="Q28" s="188"/>
      <c r="R28" s="258"/>
    </row>
    <row r="29" spans="1:18" ht="15" customHeight="1">
      <c r="A29" s="111" t="s">
        <v>457</v>
      </c>
      <c r="E29" s="269">
        <f>SUM(E27:P27)</f>
        <v>44589.29</v>
      </c>
      <c r="Q29" s="188"/>
      <c r="R29" s="258"/>
    </row>
    <row r="30" spans="1:18" ht="15" customHeight="1">
      <c r="Q30" s="188"/>
      <c r="R30" s="258"/>
    </row>
    <row r="31" spans="1:18" ht="15" customHeight="1">
      <c r="Q31" s="188"/>
      <c r="R31" s="258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workbookViewId="0">
      <pane ySplit="1" topLeftCell="A10" activePane="bottomLeft" state="frozenSplit"/>
      <selection pane="bottomLeft" activeCell="E26" sqref="E26"/>
    </sheetView>
  </sheetViews>
  <sheetFormatPr baseColWidth="10" defaultColWidth="11" defaultRowHeight="15" x14ac:dyDescent="0"/>
  <cols>
    <col min="1" max="1" width="3.1640625" style="91" customWidth="1"/>
    <col min="2" max="2" width="2.6640625" style="91" customWidth="1"/>
    <col min="3" max="3" width="13.33203125" style="91" customWidth="1"/>
    <col min="4" max="4" width="10.5" style="91" customWidth="1"/>
    <col min="5" max="16" width="12.6640625" style="91" customWidth="1"/>
    <col min="17" max="17" width="3.83203125" style="91" customWidth="1"/>
    <col min="18" max="16384" width="11" style="91"/>
  </cols>
  <sheetData>
    <row r="1" spans="1:18">
      <c r="E1" s="74" t="s">
        <v>83</v>
      </c>
      <c r="F1" s="74" t="s">
        <v>84</v>
      </c>
      <c r="G1" s="74" t="s">
        <v>85</v>
      </c>
      <c r="H1" s="74" t="s">
        <v>86</v>
      </c>
      <c r="I1" s="74" t="s">
        <v>87</v>
      </c>
      <c r="J1" s="74" t="s">
        <v>88</v>
      </c>
      <c r="K1" s="74" t="s">
        <v>89</v>
      </c>
      <c r="L1" s="74" t="s">
        <v>90</v>
      </c>
      <c r="M1" s="74" t="s">
        <v>91</v>
      </c>
      <c r="N1" s="74" t="s">
        <v>92</v>
      </c>
      <c r="O1" s="74" t="s">
        <v>440</v>
      </c>
      <c r="P1" s="74" t="s">
        <v>94</v>
      </c>
      <c r="R1" s="111" t="s">
        <v>441</v>
      </c>
    </row>
    <row r="2" spans="1:18">
      <c r="A2" s="260" t="s">
        <v>34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261"/>
      <c r="N2" s="261"/>
      <c r="O2" s="261"/>
      <c r="P2" s="261"/>
      <c r="Q2" s="261"/>
      <c r="R2" s="111"/>
    </row>
    <row r="3" spans="1:18">
      <c r="A3" s="260"/>
      <c r="B3" s="260" t="s">
        <v>461</v>
      </c>
      <c r="C3" s="260"/>
      <c r="D3" s="260"/>
      <c r="E3" s="270">
        <f t="shared" ref="E3:P3" si="0">SUM(E4:E7)</f>
        <v>2950</v>
      </c>
      <c r="F3" s="270">
        <f t="shared" si="0"/>
        <v>2300</v>
      </c>
      <c r="G3" s="270">
        <f t="shared" si="0"/>
        <v>3300</v>
      </c>
      <c r="H3" s="270">
        <f t="shared" si="0"/>
        <v>600</v>
      </c>
      <c r="I3" s="270">
        <f t="shared" si="0"/>
        <v>0</v>
      </c>
      <c r="J3" s="270">
        <f t="shared" si="0"/>
        <v>0</v>
      </c>
      <c r="K3" s="270">
        <f t="shared" si="0"/>
        <v>0</v>
      </c>
      <c r="L3" s="261">
        <f t="shared" si="0"/>
        <v>0</v>
      </c>
      <c r="M3" s="261">
        <f t="shared" si="0"/>
        <v>0</v>
      </c>
      <c r="N3" s="261">
        <f t="shared" si="0"/>
        <v>0</v>
      </c>
      <c r="O3" s="261">
        <f t="shared" si="0"/>
        <v>0</v>
      </c>
      <c r="P3" s="261">
        <f t="shared" si="0"/>
        <v>0</v>
      </c>
      <c r="Q3" s="261"/>
      <c r="R3" s="121">
        <f>SUM(E3:P3)</f>
        <v>9150</v>
      </c>
    </row>
    <row r="4" spans="1:18">
      <c r="A4" s="264"/>
      <c r="B4" s="264"/>
      <c r="C4" s="264" t="s">
        <v>452</v>
      </c>
      <c r="D4" s="264"/>
      <c r="E4" s="265">
        <v>300</v>
      </c>
      <c r="F4" s="265">
        <v>1800</v>
      </c>
      <c r="G4" s="265"/>
      <c r="H4" s="265"/>
      <c r="I4" s="265"/>
      <c r="J4" s="265"/>
      <c r="K4" s="265"/>
      <c r="L4" s="266"/>
      <c r="M4" s="266"/>
      <c r="N4" s="266"/>
      <c r="O4" s="266"/>
      <c r="P4" s="266"/>
      <c r="Q4" s="266"/>
      <c r="R4" s="111"/>
    </row>
    <row r="5" spans="1:18">
      <c r="A5" s="264"/>
      <c r="B5" s="264"/>
      <c r="C5" s="264" t="s">
        <v>462</v>
      </c>
      <c r="D5" s="264"/>
      <c r="E5" s="265">
        <v>1050</v>
      </c>
      <c r="G5" s="265">
        <v>600</v>
      </c>
      <c r="H5" s="265">
        <v>600</v>
      </c>
      <c r="I5" s="265"/>
      <c r="J5" s="265"/>
      <c r="K5" s="265"/>
      <c r="L5" s="266"/>
      <c r="M5" s="266"/>
      <c r="N5" s="266"/>
      <c r="O5" s="266"/>
      <c r="P5" s="266"/>
      <c r="Q5" s="266"/>
      <c r="R5" s="111"/>
    </row>
    <row r="6" spans="1:18">
      <c r="A6" s="264"/>
      <c r="B6" s="264"/>
      <c r="C6" s="264" t="s">
        <v>449</v>
      </c>
      <c r="D6" s="264"/>
      <c r="E6" s="265">
        <v>500</v>
      </c>
      <c r="F6" s="265">
        <v>500</v>
      </c>
      <c r="G6" s="265">
        <v>500</v>
      </c>
      <c r="H6" s="265"/>
      <c r="I6" s="265"/>
      <c r="J6" s="265"/>
      <c r="K6" s="265"/>
      <c r="L6" s="266"/>
      <c r="M6" s="266"/>
      <c r="N6" s="266"/>
      <c r="O6" s="266"/>
      <c r="P6" s="266"/>
      <c r="Q6" s="266"/>
      <c r="R6" s="111"/>
    </row>
    <row r="7" spans="1:18">
      <c r="A7" s="264"/>
      <c r="B7" s="264"/>
      <c r="C7" s="264" t="s">
        <v>450</v>
      </c>
      <c r="D7" s="264"/>
      <c r="E7" s="265">
        <f>1100</f>
        <v>1100</v>
      </c>
      <c r="F7" s="265"/>
      <c r="G7" s="265">
        <v>2200</v>
      </c>
      <c r="H7" s="265"/>
      <c r="I7" s="265"/>
      <c r="J7" s="265"/>
      <c r="K7" s="265"/>
      <c r="L7" s="266"/>
      <c r="M7" s="266"/>
      <c r="N7" s="266"/>
      <c r="O7" s="266"/>
      <c r="P7" s="266"/>
      <c r="Q7" s="266"/>
      <c r="R7" s="111"/>
    </row>
    <row r="8" spans="1:18">
      <c r="A8" s="260"/>
      <c r="B8" s="260" t="s">
        <v>463</v>
      </c>
      <c r="C8" s="260"/>
      <c r="D8" s="260"/>
      <c r="E8" s="270">
        <v>750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61">
        <v>0</v>
      </c>
      <c r="M8" s="261">
        <v>0</v>
      </c>
      <c r="N8" s="261">
        <v>0</v>
      </c>
      <c r="O8" s="261">
        <v>0</v>
      </c>
      <c r="P8" s="261">
        <v>0</v>
      </c>
      <c r="Q8" s="261"/>
      <c r="R8" s="121">
        <f>SUM(E8:P8)</f>
        <v>750</v>
      </c>
    </row>
    <row r="9" spans="1:18">
      <c r="A9" s="260"/>
      <c r="B9" s="260" t="s">
        <v>464</v>
      </c>
      <c r="C9" s="260"/>
      <c r="D9" s="260"/>
      <c r="E9" s="270">
        <f t="shared" ref="E9:P9" si="1">SUM(E10:E13)</f>
        <v>0</v>
      </c>
      <c r="F9" s="270">
        <f t="shared" si="1"/>
        <v>4500</v>
      </c>
      <c r="G9" s="270">
        <f t="shared" si="1"/>
        <v>4985</v>
      </c>
      <c r="H9" s="270">
        <f t="shared" si="1"/>
        <v>1350</v>
      </c>
      <c r="I9" s="270">
        <f t="shared" si="1"/>
        <v>2935</v>
      </c>
      <c r="J9" s="270">
        <f t="shared" si="1"/>
        <v>0</v>
      </c>
      <c r="K9" s="270">
        <f t="shared" si="1"/>
        <v>1600</v>
      </c>
      <c r="L9" s="261">
        <f t="shared" si="1"/>
        <v>985</v>
      </c>
      <c r="M9" s="261">
        <f t="shared" si="1"/>
        <v>3035</v>
      </c>
      <c r="N9" s="261">
        <f t="shared" si="1"/>
        <v>1325</v>
      </c>
      <c r="O9" s="261">
        <f t="shared" si="1"/>
        <v>735</v>
      </c>
      <c r="P9" s="261">
        <f t="shared" si="1"/>
        <v>0</v>
      </c>
      <c r="Q9" s="261"/>
      <c r="R9" s="121">
        <f>SUM(E9:P9)</f>
        <v>21450</v>
      </c>
    </row>
    <row r="10" spans="1:18">
      <c r="A10" s="260"/>
      <c r="B10" s="260"/>
      <c r="C10" s="264" t="s">
        <v>465</v>
      </c>
      <c r="D10" s="260"/>
      <c r="F10" s="265">
        <v>1250</v>
      </c>
      <c r="G10" s="265">
        <v>1800</v>
      </c>
      <c r="H10" s="265"/>
      <c r="I10" s="265">
        <f>450+1800</f>
        <v>2250</v>
      </c>
      <c r="J10" s="265"/>
      <c r="K10" s="265"/>
      <c r="L10" s="266"/>
      <c r="M10" s="266">
        <v>2300</v>
      </c>
      <c r="N10" s="266"/>
      <c r="O10" s="266">
        <v>0</v>
      </c>
      <c r="P10" s="266"/>
      <c r="Q10" s="266"/>
      <c r="R10" s="111"/>
    </row>
    <row r="11" spans="1:18">
      <c r="A11" s="260"/>
      <c r="B11" s="260"/>
      <c r="C11" s="264" t="s">
        <v>452</v>
      </c>
      <c r="D11" s="260"/>
      <c r="E11" s="265"/>
      <c r="F11" s="265">
        <v>250</v>
      </c>
      <c r="G11" s="265"/>
      <c r="H11" s="265">
        <v>600</v>
      </c>
      <c r="I11" s="265"/>
      <c r="J11" s="265"/>
      <c r="K11" s="265">
        <v>400</v>
      </c>
      <c r="L11" s="266"/>
      <c r="M11" s="266"/>
      <c r="N11" s="266">
        <v>200</v>
      </c>
      <c r="O11" s="266"/>
      <c r="P11" s="266"/>
      <c r="Q11" s="266"/>
      <c r="R11" s="111"/>
    </row>
    <row r="12" spans="1:18">
      <c r="A12" s="260"/>
      <c r="B12" s="260"/>
      <c r="C12" s="264" t="s">
        <v>466</v>
      </c>
      <c r="D12" s="260"/>
      <c r="E12" s="265"/>
      <c r="F12" s="265"/>
      <c r="G12" s="265">
        <f>660+500+25</f>
        <v>1185</v>
      </c>
      <c r="H12" s="265"/>
      <c r="I12" s="265">
        <f>660+25</f>
        <v>685</v>
      </c>
      <c r="J12" s="265"/>
      <c r="K12" s="265"/>
      <c r="L12" s="266">
        <f>75</f>
        <v>75</v>
      </c>
      <c r="M12" s="266">
        <f>660+25+50</f>
        <v>735</v>
      </c>
      <c r="N12" s="266">
        <f>25</f>
        <v>25</v>
      </c>
      <c r="O12" s="266">
        <f>25+50+660</f>
        <v>735</v>
      </c>
      <c r="P12" s="266"/>
      <c r="Q12" s="266"/>
      <c r="R12" s="111"/>
    </row>
    <row r="13" spans="1:18">
      <c r="A13" s="260"/>
      <c r="B13" s="260"/>
      <c r="C13" s="264" t="s">
        <v>467</v>
      </c>
      <c r="D13" s="260"/>
      <c r="E13" s="265"/>
      <c r="F13" s="265">
        <v>3000</v>
      </c>
      <c r="G13" s="265">
        <v>2000</v>
      </c>
      <c r="H13" s="265">
        <v>750</v>
      </c>
      <c r="J13" s="265"/>
      <c r="K13" s="265">
        <v>1200</v>
      </c>
      <c r="L13" s="266">
        <v>910</v>
      </c>
      <c r="M13" s="266"/>
      <c r="N13" s="266">
        <v>1100</v>
      </c>
      <c r="O13" s="266"/>
      <c r="P13" s="266"/>
      <c r="Q13" s="266"/>
      <c r="R13" s="111"/>
    </row>
    <row r="14" spans="1:18">
      <c r="A14" s="260"/>
      <c r="B14" s="260" t="s">
        <v>468</v>
      </c>
      <c r="C14" s="260"/>
      <c r="D14" s="260"/>
      <c r="E14" s="270">
        <f t="shared" ref="E14:P14" si="2">SUM(E15:E18)</f>
        <v>0</v>
      </c>
      <c r="F14" s="270">
        <f t="shared" si="2"/>
        <v>1935</v>
      </c>
      <c r="G14" s="270">
        <f t="shared" si="2"/>
        <v>1935</v>
      </c>
      <c r="H14" s="270">
        <f t="shared" si="2"/>
        <v>0</v>
      </c>
      <c r="I14" s="270">
        <f t="shared" si="2"/>
        <v>1895</v>
      </c>
      <c r="J14" s="270">
        <f t="shared" si="2"/>
        <v>0</v>
      </c>
      <c r="K14" s="270">
        <f t="shared" si="2"/>
        <v>0</v>
      </c>
      <c r="L14" s="261">
        <f t="shared" si="2"/>
        <v>1935</v>
      </c>
      <c r="M14" s="261">
        <f t="shared" si="2"/>
        <v>0</v>
      </c>
      <c r="N14" s="261">
        <f t="shared" si="2"/>
        <v>1935</v>
      </c>
      <c r="O14" s="261">
        <f t="shared" si="2"/>
        <v>0</v>
      </c>
      <c r="P14" s="261">
        <f t="shared" si="2"/>
        <v>0</v>
      </c>
      <c r="Q14" s="261"/>
      <c r="R14" s="121">
        <f>SUM(E14:P14)</f>
        <v>9635</v>
      </c>
    </row>
    <row r="15" spans="1:18">
      <c r="A15" s="260"/>
      <c r="B15" s="260"/>
      <c r="C15" s="264" t="s">
        <v>452</v>
      </c>
      <c r="D15" s="260"/>
      <c r="E15" s="265"/>
      <c r="F15" s="265">
        <v>160</v>
      </c>
      <c r="G15" s="265">
        <v>160</v>
      </c>
      <c r="H15" s="265"/>
      <c r="I15" s="265">
        <v>120</v>
      </c>
      <c r="J15" s="265"/>
      <c r="K15" s="265"/>
      <c r="L15" s="266">
        <v>160</v>
      </c>
      <c r="M15" s="266"/>
      <c r="N15" s="266">
        <v>160</v>
      </c>
      <c r="O15" s="266"/>
      <c r="P15" s="266"/>
      <c r="Q15" s="266"/>
      <c r="R15" s="111"/>
    </row>
    <row r="16" spans="1:18">
      <c r="A16" s="260"/>
      <c r="B16" s="260"/>
      <c r="C16" s="264" t="s">
        <v>462</v>
      </c>
      <c r="D16" s="260"/>
      <c r="E16" s="265"/>
      <c r="F16" s="265">
        <v>400</v>
      </c>
      <c r="G16" s="265">
        <v>400</v>
      </c>
      <c r="H16" s="265"/>
      <c r="I16" s="265">
        <v>400</v>
      </c>
      <c r="J16" s="265"/>
      <c r="K16" s="265"/>
      <c r="L16" s="266">
        <f>400</f>
        <v>400</v>
      </c>
      <c r="M16" s="266"/>
      <c r="N16" s="266">
        <v>400</v>
      </c>
      <c r="O16" s="266"/>
      <c r="P16" s="266"/>
      <c r="Q16" s="266"/>
      <c r="R16" s="111"/>
    </row>
    <row r="17" spans="1:18">
      <c r="A17" s="260"/>
      <c r="B17" s="260"/>
      <c r="C17" s="264" t="s">
        <v>449</v>
      </c>
      <c r="D17" s="260"/>
      <c r="E17" s="265"/>
      <c r="F17" s="265">
        <v>600</v>
      </c>
      <c r="G17" s="265">
        <v>600</v>
      </c>
      <c r="H17" s="265"/>
      <c r="I17" s="265">
        <v>600</v>
      </c>
      <c r="J17" s="265"/>
      <c r="K17" s="265"/>
      <c r="L17" s="266">
        <v>600</v>
      </c>
      <c r="M17" s="266"/>
      <c r="N17" s="266">
        <v>600</v>
      </c>
      <c r="O17" s="266"/>
      <c r="P17" s="266"/>
      <c r="Q17" s="266"/>
      <c r="R17" s="111"/>
    </row>
    <row r="18" spans="1:18">
      <c r="A18" s="260"/>
      <c r="B18" s="260"/>
      <c r="C18" s="264" t="s">
        <v>450</v>
      </c>
      <c r="D18" s="260"/>
      <c r="E18" s="265"/>
      <c r="F18" s="265">
        <v>775</v>
      </c>
      <c r="G18" s="265">
        <v>775</v>
      </c>
      <c r="H18" s="265"/>
      <c r="I18" s="265">
        <v>775</v>
      </c>
      <c r="J18" s="265"/>
      <c r="K18" s="265"/>
      <c r="L18" s="266">
        <v>775</v>
      </c>
      <c r="M18" s="266"/>
      <c r="N18" s="266">
        <v>775</v>
      </c>
      <c r="O18" s="266"/>
      <c r="P18" s="266"/>
      <c r="Q18" s="266"/>
      <c r="R18" s="111"/>
    </row>
    <row r="19" spans="1:18">
      <c r="A19" s="260"/>
      <c r="B19" s="260" t="s">
        <v>37</v>
      </c>
      <c r="C19" s="260"/>
      <c r="D19" s="260"/>
      <c r="E19" s="270">
        <f>SUM(E20:E22)</f>
        <v>2197</v>
      </c>
      <c r="F19" s="270">
        <f t="shared" ref="F19:P19" si="3">SUM(F20:F21)</f>
        <v>85</v>
      </c>
      <c r="G19" s="270">
        <f t="shared" si="3"/>
        <v>235</v>
      </c>
      <c r="H19" s="270">
        <f t="shared" si="3"/>
        <v>85</v>
      </c>
      <c r="I19" s="270">
        <f t="shared" si="3"/>
        <v>85</v>
      </c>
      <c r="J19" s="270">
        <f t="shared" si="3"/>
        <v>85</v>
      </c>
      <c r="K19" s="270">
        <f t="shared" si="3"/>
        <v>85</v>
      </c>
      <c r="L19" s="261">
        <f t="shared" si="3"/>
        <v>85</v>
      </c>
      <c r="M19" s="261">
        <f t="shared" si="3"/>
        <v>235</v>
      </c>
      <c r="N19" s="261">
        <f t="shared" si="3"/>
        <v>85</v>
      </c>
      <c r="O19" s="261">
        <f t="shared" si="3"/>
        <v>85</v>
      </c>
      <c r="P19" s="261">
        <f t="shared" si="3"/>
        <v>85</v>
      </c>
      <c r="Q19" s="261"/>
      <c r="R19" s="121">
        <f>SUM(E19:P19)</f>
        <v>3432</v>
      </c>
    </row>
    <row r="20" spans="1:18">
      <c r="A20" s="260"/>
      <c r="B20" s="260"/>
      <c r="C20" s="264" t="s">
        <v>469</v>
      </c>
      <c r="D20" s="260"/>
      <c r="E20" s="265">
        <v>85</v>
      </c>
      <c r="F20" s="265">
        <v>85</v>
      </c>
      <c r="G20" s="265">
        <v>85</v>
      </c>
      <c r="H20" s="265">
        <v>85</v>
      </c>
      <c r="I20" s="265">
        <v>85</v>
      </c>
      <c r="J20" s="265">
        <v>85</v>
      </c>
      <c r="K20" s="265">
        <v>85</v>
      </c>
      <c r="L20" s="266">
        <v>85</v>
      </c>
      <c r="M20" s="266">
        <v>85</v>
      </c>
      <c r="N20" s="266">
        <v>85</v>
      </c>
      <c r="O20" s="266">
        <v>85</v>
      </c>
      <c r="P20" s="266">
        <v>85</v>
      </c>
      <c r="Q20" s="266"/>
      <c r="R20" s="111"/>
    </row>
    <row r="21" spans="1:18">
      <c r="A21" s="260"/>
      <c r="B21" s="260"/>
      <c r="C21" s="264" t="s">
        <v>7</v>
      </c>
      <c r="D21" s="260"/>
      <c r="E21" s="265"/>
      <c r="F21" s="265"/>
      <c r="G21" s="265">
        <v>150</v>
      </c>
      <c r="H21" s="265"/>
      <c r="I21" s="265"/>
      <c r="J21" s="265"/>
      <c r="K21" s="265"/>
      <c r="L21" s="266"/>
      <c r="M21" s="266">
        <v>150</v>
      </c>
      <c r="N21" s="266"/>
      <c r="O21" s="266"/>
      <c r="P21" s="266"/>
      <c r="Q21" s="266"/>
      <c r="R21" s="111"/>
    </row>
    <row r="22" spans="1:18">
      <c r="A22" s="260"/>
      <c r="B22" s="260"/>
      <c r="C22" s="264" t="s">
        <v>530</v>
      </c>
      <c r="D22" s="260"/>
      <c r="E22" s="265">
        <v>2112</v>
      </c>
      <c r="F22" s="265"/>
      <c r="G22" s="265"/>
      <c r="H22" s="265"/>
      <c r="I22" s="265"/>
      <c r="J22" s="265"/>
      <c r="K22" s="265"/>
      <c r="L22" s="266"/>
      <c r="M22" s="266"/>
      <c r="N22" s="266"/>
      <c r="O22" s="266"/>
      <c r="P22" s="266"/>
      <c r="Q22" s="266"/>
      <c r="R22" s="111"/>
    </row>
    <row r="23" spans="1:18">
      <c r="A23" s="260"/>
      <c r="B23" s="260" t="s">
        <v>38</v>
      </c>
      <c r="C23" s="260"/>
      <c r="D23" s="260"/>
      <c r="E23" s="270">
        <f>SUM(E24:E30)</f>
        <v>15549.5</v>
      </c>
      <c r="F23" s="270">
        <f t="shared" ref="F23:P23" si="4">SUM(F24:F30)</f>
        <v>4485</v>
      </c>
      <c r="G23" s="270">
        <f t="shared" si="4"/>
        <v>16315</v>
      </c>
      <c r="H23" s="270">
        <f t="shared" si="4"/>
        <v>1835</v>
      </c>
      <c r="I23" s="270">
        <f t="shared" si="4"/>
        <v>6785</v>
      </c>
      <c r="J23" s="270">
        <f t="shared" si="4"/>
        <v>1835</v>
      </c>
      <c r="K23" s="270">
        <f t="shared" si="4"/>
        <v>1835</v>
      </c>
      <c r="L23" s="261">
        <f t="shared" si="4"/>
        <v>2435</v>
      </c>
      <c r="M23" s="261">
        <f t="shared" si="4"/>
        <v>6235</v>
      </c>
      <c r="N23" s="261">
        <f t="shared" si="4"/>
        <v>6035</v>
      </c>
      <c r="O23" s="261">
        <f t="shared" si="4"/>
        <v>6185</v>
      </c>
      <c r="P23" s="261">
        <f t="shared" si="4"/>
        <v>1935</v>
      </c>
      <c r="Q23" s="261"/>
      <c r="R23" s="121">
        <f>SUM(E23:P23)</f>
        <v>71464.5</v>
      </c>
    </row>
    <row r="24" spans="1:18">
      <c r="A24" s="260"/>
      <c r="B24" s="260"/>
      <c r="C24" s="264" t="s">
        <v>470</v>
      </c>
      <c r="D24" s="260"/>
      <c r="E24" s="265"/>
      <c r="F24" s="265"/>
      <c r="G24" s="265"/>
      <c r="H24" s="265"/>
      <c r="I24" s="265"/>
      <c r="J24" s="265"/>
      <c r="K24" s="265"/>
      <c r="L24" s="266"/>
      <c r="M24" s="266"/>
      <c r="N24" s="266"/>
      <c r="O24" s="266"/>
      <c r="P24" s="266"/>
      <c r="Q24" s="266"/>
      <c r="R24" s="111"/>
    </row>
    <row r="25" spans="1:18">
      <c r="A25" s="260"/>
      <c r="B25" s="260"/>
      <c r="C25" s="264" t="s">
        <v>471</v>
      </c>
      <c r="D25" s="260"/>
      <c r="E25" s="265">
        <f>3062.5+100+1500</f>
        <v>4662.5</v>
      </c>
      <c r="F25" s="265">
        <v>650</v>
      </c>
      <c r="G25" s="265">
        <f>1350+1350+280</f>
        <v>2980</v>
      </c>
      <c r="H25" s="265"/>
      <c r="I25" s="265">
        <f>1350+600</f>
        <v>1950</v>
      </c>
      <c r="J25" s="265"/>
      <c r="K25" s="265"/>
      <c r="L25" s="266">
        <f>200+80+200+40+40+40</f>
        <v>600</v>
      </c>
      <c r="M25" s="266">
        <f>1350+300</f>
        <v>1650</v>
      </c>
      <c r="N25" s="266">
        <f>200</f>
        <v>200</v>
      </c>
      <c r="O25" s="266">
        <v>1350</v>
      </c>
      <c r="P25" s="266">
        <v>100</v>
      </c>
      <c r="Q25" s="266"/>
      <c r="R25" s="111"/>
    </row>
    <row r="26" spans="1:18">
      <c r="A26" s="260"/>
      <c r="B26" s="260"/>
      <c r="C26" s="264" t="s">
        <v>472</v>
      </c>
      <c r="D26" s="260"/>
      <c r="E26" s="265">
        <f>160+5502+1400+700+200+590+200</f>
        <v>8752</v>
      </c>
      <c r="F26" s="265"/>
      <c r="G26" s="265"/>
      <c r="H26" s="265"/>
      <c r="I26" s="265"/>
      <c r="J26" s="265"/>
      <c r="K26" s="265"/>
      <c r="L26" s="266"/>
      <c r="M26" s="266"/>
      <c r="N26" s="266"/>
      <c r="O26" s="266"/>
      <c r="P26" s="266"/>
      <c r="Q26" s="266"/>
      <c r="R26" s="111"/>
    </row>
    <row r="27" spans="1:18">
      <c r="A27" s="260"/>
      <c r="B27" s="260"/>
      <c r="C27" s="264" t="s">
        <v>450</v>
      </c>
      <c r="D27" s="260"/>
      <c r="E27" s="265">
        <f>300</f>
        <v>300</v>
      </c>
      <c r="F27" s="265"/>
      <c r="G27" s="265">
        <f>4000+2750+2750</f>
        <v>9500</v>
      </c>
      <c r="H27" s="265"/>
      <c r="I27" s="265">
        <v>3000</v>
      </c>
      <c r="J27" s="265"/>
      <c r="K27" s="265"/>
      <c r="L27" s="266"/>
      <c r="M27" s="266">
        <f>2750</f>
        <v>2750</v>
      </c>
      <c r="N27" s="266">
        <v>4000</v>
      </c>
      <c r="O27" s="266">
        <v>3000</v>
      </c>
      <c r="P27" s="266"/>
      <c r="Q27" s="266"/>
      <c r="R27" s="111"/>
    </row>
    <row r="28" spans="1:18">
      <c r="A28" s="260"/>
      <c r="B28" s="260"/>
      <c r="C28" s="264" t="s">
        <v>473</v>
      </c>
      <c r="D28" s="260"/>
      <c r="E28" s="265">
        <f>1250+500</f>
        <v>1750</v>
      </c>
      <c r="F28" s="265">
        <f>1250+500</f>
        <v>1750</v>
      </c>
      <c r="G28" s="265">
        <f>1250+500</f>
        <v>1750</v>
      </c>
      <c r="H28" s="265">
        <f t="shared" ref="H28:P28" si="5">1250+500</f>
        <v>1750</v>
      </c>
      <c r="I28" s="265">
        <f t="shared" si="5"/>
        <v>1750</v>
      </c>
      <c r="J28" s="265">
        <f t="shared" si="5"/>
        <v>1750</v>
      </c>
      <c r="K28" s="265">
        <f t="shared" si="5"/>
        <v>1750</v>
      </c>
      <c r="L28" s="266">
        <f t="shared" si="5"/>
        <v>1750</v>
      </c>
      <c r="M28" s="266">
        <f t="shared" si="5"/>
        <v>1750</v>
      </c>
      <c r="N28" s="266">
        <f t="shared" si="5"/>
        <v>1750</v>
      </c>
      <c r="O28" s="266">
        <f t="shared" si="5"/>
        <v>1750</v>
      </c>
      <c r="P28" s="266">
        <f t="shared" si="5"/>
        <v>1750</v>
      </c>
      <c r="Q28" s="266"/>
      <c r="R28" s="111"/>
    </row>
    <row r="29" spans="1:18">
      <c r="A29" s="260"/>
      <c r="B29" s="260"/>
      <c r="C29" s="264" t="s">
        <v>474</v>
      </c>
      <c r="D29" s="260"/>
      <c r="E29" s="265">
        <v>85</v>
      </c>
      <c r="F29" s="265">
        <v>85</v>
      </c>
      <c r="G29" s="265">
        <v>85</v>
      </c>
      <c r="H29" s="265">
        <v>85</v>
      </c>
      <c r="I29" s="265">
        <v>85</v>
      </c>
      <c r="J29" s="265">
        <v>85</v>
      </c>
      <c r="K29" s="265">
        <v>85</v>
      </c>
      <c r="L29" s="266">
        <v>85</v>
      </c>
      <c r="M29" s="266">
        <v>85</v>
      </c>
      <c r="N29" s="266">
        <v>85</v>
      </c>
      <c r="O29" s="266">
        <v>85</v>
      </c>
      <c r="P29" s="266">
        <v>85</v>
      </c>
      <c r="Q29" s="266"/>
      <c r="R29" s="111"/>
    </row>
    <row r="30" spans="1:18">
      <c r="A30" s="260"/>
      <c r="B30" s="260"/>
      <c r="C30" s="264" t="s">
        <v>7</v>
      </c>
      <c r="D30" s="260"/>
      <c r="E30" s="265"/>
      <c r="F30" s="265">
        <v>2000</v>
      </c>
      <c r="G30" s="265">
        <v>2000</v>
      </c>
      <c r="H30" s="265"/>
      <c r="I30" s="265"/>
      <c r="J30" s="265"/>
      <c r="K30" s="265"/>
      <c r="L30" s="266"/>
      <c r="M30" s="266"/>
      <c r="N30" s="266"/>
      <c r="O30" s="266"/>
      <c r="P30" s="266"/>
      <c r="Q30" s="266"/>
      <c r="R30" s="111"/>
    </row>
    <row r="31" spans="1:18">
      <c r="A31" s="260" t="s">
        <v>475</v>
      </c>
      <c r="B31" s="260"/>
      <c r="C31" s="260"/>
      <c r="D31" s="260"/>
      <c r="E31" s="270">
        <f>E3+E8+E9+E14+E19+E23</f>
        <v>21446.5</v>
      </c>
      <c r="F31" s="270">
        <f t="shared" ref="F31:M31" si="6">F3+F8+F9+F14+F19+F23</f>
        <v>13305</v>
      </c>
      <c r="G31" s="270">
        <f>G3+G8+G9+G14+G19+G23</f>
        <v>26770</v>
      </c>
      <c r="H31" s="270">
        <f t="shared" si="6"/>
        <v>3870</v>
      </c>
      <c r="I31" s="270">
        <f t="shared" si="6"/>
        <v>11700</v>
      </c>
      <c r="J31" s="270">
        <f t="shared" si="6"/>
        <v>1920</v>
      </c>
      <c r="K31" s="270">
        <f t="shared" si="6"/>
        <v>3520</v>
      </c>
      <c r="L31" s="261">
        <f t="shared" si="6"/>
        <v>5440</v>
      </c>
      <c r="M31" s="261">
        <f t="shared" si="6"/>
        <v>9505</v>
      </c>
      <c r="N31" s="261">
        <f>N3+N9+N8+N14+N19+N23</f>
        <v>9380</v>
      </c>
      <c r="O31" s="261">
        <f>O3+O8+O9+O14+O19+O23</f>
        <v>7005</v>
      </c>
      <c r="P31" s="261">
        <f>P3+P8+P9+P14+P19+P23</f>
        <v>2020</v>
      </c>
      <c r="Q31" s="261"/>
      <c r="R31" s="111"/>
    </row>
    <row r="32" spans="1:18">
      <c r="A32" s="260"/>
      <c r="B32" s="260"/>
      <c r="C32" s="260"/>
      <c r="D32" s="260"/>
      <c r="E32" s="270"/>
      <c r="F32" s="270"/>
      <c r="G32" s="270"/>
      <c r="H32" s="270"/>
      <c r="I32" s="270"/>
      <c r="J32" s="270"/>
      <c r="K32" s="270"/>
      <c r="L32" s="261"/>
      <c r="M32" s="261"/>
      <c r="N32" s="261"/>
      <c r="O32" s="261"/>
      <c r="P32" s="261"/>
      <c r="Q32" s="261"/>
      <c r="R32" s="111"/>
    </row>
    <row r="33" spans="1:18">
      <c r="A33" s="111" t="s">
        <v>476</v>
      </c>
      <c r="E33" s="121">
        <f>SUM(E31:P31)</f>
        <v>115881.5</v>
      </c>
      <c r="R33" s="111"/>
    </row>
    <row r="34" spans="1:18">
      <c r="R34" s="111"/>
    </row>
    <row r="35" spans="1:18">
      <c r="A35" s="109" t="s">
        <v>556</v>
      </c>
      <c r="B35" s="109"/>
      <c r="R35" s="111"/>
    </row>
    <row r="36" spans="1:18">
      <c r="A36" s="109"/>
      <c r="B36" s="109"/>
      <c r="R36" s="111"/>
    </row>
    <row r="37" spans="1:18">
      <c r="A37" s="109" t="s">
        <v>557</v>
      </c>
      <c r="B37" s="109"/>
    </row>
    <row r="38" spans="1:18">
      <c r="A38" s="109" t="s">
        <v>558</v>
      </c>
      <c r="B38" s="109"/>
    </row>
    <row r="39" spans="1:18">
      <c r="A39" s="109" t="s">
        <v>560</v>
      </c>
      <c r="B39" s="109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8" sqref="E8"/>
    </sheetView>
  </sheetViews>
  <sheetFormatPr baseColWidth="10" defaultColWidth="11" defaultRowHeight="15" x14ac:dyDescent="0"/>
  <cols>
    <col min="1" max="16384" width="11" style="91"/>
  </cols>
  <sheetData>
    <row r="1" spans="1:8">
      <c r="A1" s="91" t="s">
        <v>477</v>
      </c>
    </row>
    <row r="2" spans="1:8">
      <c r="A2" s="91" t="s">
        <v>478</v>
      </c>
      <c r="B2" s="271"/>
      <c r="C2" s="272"/>
      <c r="E2" s="273">
        <v>6.5000000000000002E-2</v>
      </c>
    </row>
    <row r="3" spans="1:8">
      <c r="B3" s="271"/>
      <c r="C3" s="272"/>
    </row>
    <row r="4" spans="1:8">
      <c r="B4" s="271"/>
      <c r="C4" s="272" t="s">
        <v>479</v>
      </c>
      <c r="D4" s="58" t="s">
        <v>480</v>
      </c>
      <c r="E4" s="58" t="s">
        <v>481</v>
      </c>
      <c r="F4" s="58" t="s">
        <v>482</v>
      </c>
      <c r="H4" s="58" t="s">
        <v>483</v>
      </c>
    </row>
    <row r="5" spans="1:8">
      <c r="B5" s="271"/>
      <c r="C5" s="272"/>
      <c r="D5" s="272"/>
      <c r="E5" s="272"/>
      <c r="F5" s="272">
        <v>100000</v>
      </c>
    </row>
    <row r="6" spans="1:8">
      <c r="A6" s="91">
        <v>1</v>
      </c>
      <c r="B6" s="274">
        <v>42521</v>
      </c>
      <c r="C6" s="275">
        <v>2600</v>
      </c>
      <c r="D6" s="275">
        <f>+C6-E6</f>
        <v>2047.9452054794519</v>
      </c>
      <c r="E6" s="275">
        <f>+F5*(E$2/365*31)</f>
        <v>552.05479452054794</v>
      </c>
      <c r="F6" s="275">
        <f>+F5-D6</f>
        <v>97952.054794520547</v>
      </c>
      <c r="H6" s="276"/>
    </row>
    <row r="7" spans="1:8">
      <c r="A7" s="91">
        <v>2</v>
      </c>
      <c r="B7" s="274">
        <v>42551</v>
      </c>
      <c r="C7" s="275">
        <v>2600</v>
      </c>
      <c r="D7" s="275">
        <f t="shared" ref="D7:D17" si="0">+C7-E7</f>
        <v>2076.6945017826984</v>
      </c>
      <c r="E7" s="275">
        <f>+F6*(E$2/365*30)</f>
        <v>523.30549821730153</v>
      </c>
      <c r="F7" s="275">
        <f t="shared" ref="F7:F19" si="1">+F6-D7</f>
        <v>95875.360292737852</v>
      </c>
      <c r="H7" s="276"/>
    </row>
    <row r="8" spans="1:8">
      <c r="A8" s="91">
        <v>3</v>
      </c>
      <c r="B8" s="274">
        <v>42582</v>
      </c>
      <c r="C8" s="275">
        <v>2600</v>
      </c>
      <c r="D8" s="275">
        <f t="shared" si="0"/>
        <v>2070.7154767400912</v>
      </c>
      <c r="E8" s="275">
        <f>+F7*(E$2/365*31)</f>
        <v>529.28452325990895</v>
      </c>
      <c r="F8" s="275">
        <f t="shared" si="1"/>
        <v>93804.644815997759</v>
      </c>
      <c r="H8" s="276"/>
    </row>
    <row r="9" spans="1:8">
      <c r="A9" s="91">
        <v>4</v>
      </c>
      <c r="B9" s="274">
        <f>+B8+31</f>
        <v>42613</v>
      </c>
      <c r="C9" s="275">
        <v>2600</v>
      </c>
      <c r="D9" s="275">
        <f t="shared" si="0"/>
        <v>2082.1469608103139</v>
      </c>
      <c r="E9" s="275">
        <f>+F8*(E$2/365*31)</f>
        <v>517.85303918968623</v>
      </c>
      <c r="F9" s="275">
        <f t="shared" si="1"/>
        <v>91722.497855187452</v>
      </c>
      <c r="H9" s="276"/>
    </row>
    <row r="10" spans="1:8">
      <c r="A10" s="91">
        <v>5</v>
      </c>
      <c r="B10" s="274">
        <f>+B9+30</f>
        <v>42643</v>
      </c>
      <c r="C10" s="275">
        <v>2600</v>
      </c>
      <c r="D10" s="275">
        <f t="shared" si="0"/>
        <v>2109.9756963900945</v>
      </c>
      <c r="E10" s="275">
        <f>+F9*(E$2/365*30)</f>
        <v>490.02430360990553</v>
      </c>
      <c r="F10" s="275">
        <f t="shared" si="1"/>
        <v>89612.522158797365</v>
      </c>
      <c r="H10" s="276"/>
    </row>
    <row r="11" spans="1:8">
      <c r="A11" s="91">
        <v>6</v>
      </c>
      <c r="B11" s="274">
        <f>+B10+31</f>
        <v>42674</v>
      </c>
      <c r="C11" s="275">
        <v>2600</v>
      </c>
      <c r="D11" s="275">
        <f t="shared" si="0"/>
        <v>2105.2897749315707</v>
      </c>
      <c r="E11" s="275">
        <f t="shared" ref="E11:E16" si="2">+F10*(E$2/365*31)</f>
        <v>494.71022506842928</v>
      </c>
      <c r="F11" s="275">
        <f t="shared" si="1"/>
        <v>87507.23238386579</v>
      </c>
      <c r="H11" s="276"/>
    </row>
    <row r="12" spans="1:8">
      <c r="A12" s="91">
        <v>7</v>
      </c>
      <c r="B12" s="274">
        <f>+B11+30</f>
        <v>42704</v>
      </c>
      <c r="C12" s="275">
        <v>2600</v>
      </c>
      <c r="D12" s="275">
        <f t="shared" si="0"/>
        <v>2132.4956078122241</v>
      </c>
      <c r="E12" s="275">
        <f>+F11*(E$2/365*30)</f>
        <v>467.50439218777609</v>
      </c>
      <c r="F12" s="275">
        <f t="shared" si="1"/>
        <v>85374.736776053571</v>
      </c>
      <c r="H12" s="276"/>
    </row>
    <row r="13" spans="1:8">
      <c r="A13" s="91">
        <v>8</v>
      </c>
      <c r="B13" s="274">
        <f>+B12+31</f>
        <v>42735</v>
      </c>
      <c r="C13" s="275">
        <v>2600</v>
      </c>
      <c r="D13" s="275">
        <f t="shared" si="0"/>
        <v>2128.684672318499</v>
      </c>
      <c r="E13" s="275">
        <f t="shared" si="2"/>
        <v>471.31532768150123</v>
      </c>
      <c r="F13" s="275">
        <f t="shared" si="1"/>
        <v>83246.05210373507</v>
      </c>
      <c r="H13" s="276"/>
    </row>
    <row r="14" spans="1:8">
      <c r="A14" s="91">
        <v>9</v>
      </c>
      <c r="B14" s="274">
        <f>+B13+31</f>
        <v>42766</v>
      </c>
      <c r="C14" s="275">
        <v>2600</v>
      </c>
      <c r="D14" s="275">
        <f t="shared" si="0"/>
        <v>2140.436178112257</v>
      </c>
      <c r="E14" s="275">
        <f t="shared" si="2"/>
        <v>459.56382188774296</v>
      </c>
      <c r="F14" s="275">
        <f t="shared" si="1"/>
        <v>81105.615925622813</v>
      </c>
      <c r="H14" s="276"/>
    </row>
    <row r="15" spans="1:8">
      <c r="A15" s="91">
        <v>10</v>
      </c>
      <c r="B15" s="274">
        <v>42794</v>
      </c>
      <c r="C15" s="275">
        <v>2600</v>
      </c>
      <c r="D15" s="275">
        <f t="shared" si="0"/>
        <v>2195.5829562064837</v>
      </c>
      <c r="E15" s="275">
        <f>+F14*(E$2/365*28)</f>
        <v>404.41704379351648</v>
      </c>
      <c r="F15" s="275">
        <f t="shared" si="1"/>
        <v>78910.032969416323</v>
      </c>
      <c r="H15" s="276"/>
    </row>
    <row r="16" spans="1:8">
      <c r="A16" s="91">
        <v>11</v>
      </c>
      <c r="B16" s="274">
        <f>+B15+31</f>
        <v>42825</v>
      </c>
      <c r="C16" s="275">
        <v>2600</v>
      </c>
      <c r="D16" s="275">
        <f t="shared" si="0"/>
        <v>2164.3733796345923</v>
      </c>
      <c r="E16" s="275">
        <f t="shared" si="2"/>
        <v>435.62662036540792</v>
      </c>
      <c r="F16" s="275">
        <f t="shared" si="1"/>
        <v>76745.659589781731</v>
      </c>
      <c r="H16" s="276"/>
    </row>
    <row r="17" spans="1:8">
      <c r="A17" s="91">
        <v>12</v>
      </c>
      <c r="B17" s="274">
        <f>+B16+30</f>
        <v>42855</v>
      </c>
      <c r="C17" s="275">
        <v>2600</v>
      </c>
      <c r="D17" s="275">
        <f t="shared" si="0"/>
        <v>2189.9889419176043</v>
      </c>
      <c r="E17" s="275">
        <f>+F16*(E$2/365*30)</f>
        <v>410.01105808239549</v>
      </c>
      <c r="F17" s="275">
        <f t="shared" si="1"/>
        <v>74555.670647864128</v>
      </c>
      <c r="H17" s="276"/>
    </row>
    <row r="18" spans="1:8">
      <c r="A18" s="91">
        <v>13</v>
      </c>
      <c r="B18" s="274">
        <f>+B17+31</f>
        <v>42886</v>
      </c>
      <c r="C18" s="275">
        <v>2600</v>
      </c>
      <c r="D18" s="275">
        <f>+C18-E18</f>
        <v>2188.4118456015171</v>
      </c>
      <c r="E18" s="275">
        <f>+F17*(E$2/365*31)</f>
        <v>411.5881543984828</v>
      </c>
      <c r="F18" s="275">
        <f t="shared" si="1"/>
        <v>72367.258802262615</v>
      </c>
      <c r="H18" s="276"/>
    </row>
    <row r="19" spans="1:8">
      <c r="A19" s="277" t="s">
        <v>484</v>
      </c>
      <c r="B19" s="278">
        <v>39233</v>
      </c>
      <c r="C19" s="279">
        <f>SUM(D19:E19)</f>
        <v>72367.258802262615</v>
      </c>
      <c r="D19" s="279">
        <f>+F18</f>
        <v>72367.258802262615</v>
      </c>
      <c r="E19" s="279"/>
      <c r="F19" s="279">
        <f t="shared" si="1"/>
        <v>0</v>
      </c>
    </row>
    <row r="20" spans="1:8">
      <c r="B20" s="280"/>
      <c r="D20" s="272"/>
    </row>
    <row r="21" spans="1:8">
      <c r="D21" s="272">
        <f>SUM(D6:D19)</f>
        <v>100000.00000000001</v>
      </c>
      <c r="E21" s="272">
        <f>SUM(E6:E19)</f>
        <v>6167.2588022626014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9"/>
  <sheetViews>
    <sheetView workbookViewId="0">
      <selection activeCell="D23" activeCellId="3" sqref="D18:D21 D16 D15 D23"/>
    </sheetView>
  </sheetViews>
  <sheetFormatPr baseColWidth="10" defaultColWidth="9.1640625" defaultRowHeight="15" x14ac:dyDescent="0"/>
  <cols>
    <col min="1" max="1" width="23.5" style="288" bestFit="1" customWidth="1"/>
    <col min="2" max="2" width="12" style="288" customWidth="1"/>
    <col min="3" max="3" width="12" style="294" customWidth="1"/>
    <col min="4" max="5" width="12" style="288" customWidth="1"/>
    <col min="6" max="6" width="12" style="23" customWidth="1"/>
    <col min="7" max="7" width="12" style="288" customWidth="1"/>
    <col min="8" max="8" width="11.33203125" style="288" customWidth="1"/>
    <col min="9" max="9" width="9.1640625" style="289" customWidth="1"/>
    <col min="10" max="10" width="9.33203125" style="290" customWidth="1"/>
    <col min="11" max="11" width="9.5" style="288" customWidth="1"/>
    <col min="12" max="12" width="10.1640625" style="291" customWidth="1"/>
    <col min="13" max="13" width="5.6640625" style="288" customWidth="1"/>
    <col min="14" max="14" width="11.33203125" style="288" customWidth="1"/>
    <col min="15" max="15" width="9.1640625" style="289" customWidth="1"/>
    <col min="16" max="16" width="9.33203125" style="290" customWidth="1"/>
    <col min="17" max="17" width="8.5" style="288" customWidth="1"/>
    <col min="18" max="18" width="10.1640625" style="291" customWidth="1"/>
    <col min="19" max="19" width="5.6640625" style="288" customWidth="1"/>
    <col min="20" max="20" width="11.33203125" style="288" customWidth="1"/>
    <col min="21" max="21" width="9.1640625" style="289" customWidth="1"/>
    <col min="22" max="22" width="9.33203125" style="290" customWidth="1"/>
    <col min="23" max="23" width="8.5" style="288" customWidth="1"/>
    <col min="24" max="24" width="10.1640625" style="291" customWidth="1"/>
    <col min="25" max="25" width="5.6640625" style="288" customWidth="1"/>
    <col min="26" max="26" width="11.33203125" style="288" customWidth="1"/>
    <col min="27" max="27" width="9.1640625" style="289" customWidth="1"/>
    <col min="28" max="28" width="9.33203125" style="290" customWidth="1"/>
    <col min="29" max="29" width="8.5" style="288" bestFit="1" customWidth="1"/>
    <col min="30" max="30" width="10.1640625" style="291" bestFit="1" customWidth="1"/>
    <col min="31" max="31" width="5.6640625" style="288" customWidth="1"/>
    <col min="32" max="32" width="11.33203125" style="288" hidden="1" customWidth="1"/>
    <col min="33" max="33" width="9.1640625" style="289" hidden="1" customWidth="1"/>
    <col min="34" max="34" width="9.33203125" style="290" hidden="1" customWidth="1"/>
    <col min="35" max="35" width="8.5" style="288" hidden="1" customWidth="1"/>
    <col min="36" max="37" width="10.1640625" style="291" hidden="1" customWidth="1"/>
    <col min="38" max="38" width="5.1640625" style="288" hidden="1" customWidth="1"/>
    <col min="39" max="39" width="10.83203125" style="292" hidden="1" customWidth="1"/>
    <col min="40" max="40" width="9.1640625" style="289" hidden="1" customWidth="1"/>
    <col min="41" max="41" width="0" style="288" hidden="1" customWidth="1"/>
    <col min="42" max="42" width="8.5" style="293" bestFit="1" customWidth="1"/>
    <col min="43" max="43" width="10.1640625" style="293" bestFit="1" customWidth="1"/>
    <col min="44" max="44" width="11" style="293" bestFit="1" customWidth="1"/>
    <col min="45" max="45" width="7.5" style="293" bestFit="1" customWidth="1"/>
    <col min="46" max="16384" width="9.1640625" style="288"/>
  </cols>
  <sheetData>
    <row r="1" spans="1:45">
      <c r="A1" s="286" t="s">
        <v>377</v>
      </c>
      <c r="B1" s="286"/>
      <c r="C1" s="287"/>
      <c r="D1" s="286"/>
      <c r="E1" s="286"/>
      <c r="F1" s="22"/>
      <c r="G1" s="286"/>
    </row>
    <row r="2" spans="1:45">
      <c r="A2" s="288" t="s">
        <v>378</v>
      </c>
    </row>
    <row r="3" spans="1:45">
      <c r="A3" s="288" t="s">
        <v>379</v>
      </c>
    </row>
    <row r="4" spans="1:45">
      <c r="B4" s="333" t="s">
        <v>380</v>
      </c>
      <c r="C4" s="333"/>
      <c r="D4" s="333"/>
      <c r="E4" s="333"/>
      <c r="F4" s="333"/>
      <c r="H4" s="332" t="s">
        <v>381</v>
      </c>
      <c r="I4" s="332"/>
      <c r="J4" s="332"/>
      <c r="K4" s="332"/>
      <c r="L4" s="332"/>
      <c r="N4" s="332" t="s">
        <v>382</v>
      </c>
      <c r="O4" s="332"/>
      <c r="P4" s="332"/>
      <c r="Q4" s="332"/>
      <c r="R4" s="332"/>
      <c r="T4" s="332" t="s">
        <v>383</v>
      </c>
      <c r="U4" s="332"/>
      <c r="V4" s="332"/>
      <c r="W4" s="332"/>
      <c r="X4" s="332"/>
      <c r="Z4" s="332" t="s">
        <v>384</v>
      </c>
      <c r="AA4" s="332"/>
      <c r="AB4" s="332"/>
      <c r="AC4" s="332"/>
      <c r="AD4" s="332"/>
      <c r="AF4" s="332" t="s">
        <v>385</v>
      </c>
      <c r="AG4" s="332"/>
      <c r="AH4" s="332"/>
      <c r="AI4" s="332"/>
      <c r="AJ4" s="332"/>
      <c r="AK4" s="283"/>
      <c r="AL4" s="332" t="s">
        <v>386</v>
      </c>
      <c r="AM4" s="332"/>
      <c r="AN4" s="332"/>
    </row>
    <row r="5" spans="1:45">
      <c r="B5" s="284" t="s">
        <v>387</v>
      </c>
      <c r="C5" s="24" t="s">
        <v>388</v>
      </c>
      <c r="D5" s="284" t="s">
        <v>389</v>
      </c>
      <c r="E5" s="25" t="s">
        <v>390</v>
      </c>
      <c r="F5" s="26" t="s">
        <v>391</v>
      </c>
      <c r="H5" s="283" t="s">
        <v>387</v>
      </c>
      <c r="I5" s="27" t="s">
        <v>388</v>
      </c>
      <c r="J5" s="28" t="s">
        <v>389</v>
      </c>
      <c r="K5" s="283" t="s">
        <v>390</v>
      </c>
      <c r="L5" s="29" t="s">
        <v>391</v>
      </c>
      <c r="M5" s="295"/>
      <c r="N5" s="283" t="s">
        <v>387</v>
      </c>
      <c r="O5" s="27" t="s">
        <v>388</v>
      </c>
      <c r="P5" s="28" t="s">
        <v>389</v>
      </c>
      <c r="Q5" s="283" t="s">
        <v>390</v>
      </c>
      <c r="R5" s="29" t="s">
        <v>391</v>
      </c>
      <c r="S5" s="295"/>
      <c r="T5" s="283" t="s">
        <v>387</v>
      </c>
      <c r="U5" s="27" t="s">
        <v>388</v>
      </c>
      <c r="V5" s="28" t="s">
        <v>389</v>
      </c>
      <c r="W5" s="283" t="s">
        <v>390</v>
      </c>
      <c r="X5" s="29" t="s">
        <v>391</v>
      </c>
      <c r="Y5" s="295"/>
      <c r="Z5" s="283" t="s">
        <v>387</v>
      </c>
      <c r="AA5" s="27" t="s">
        <v>388</v>
      </c>
      <c r="AB5" s="28" t="s">
        <v>389</v>
      </c>
      <c r="AC5" s="283" t="s">
        <v>390</v>
      </c>
      <c r="AD5" s="29" t="s">
        <v>391</v>
      </c>
      <c r="AE5" s="295"/>
      <c r="AF5" s="283" t="s">
        <v>387</v>
      </c>
      <c r="AG5" s="27" t="s">
        <v>388</v>
      </c>
      <c r="AH5" s="28" t="s">
        <v>389</v>
      </c>
      <c r="AI5" s="283" t="s">
        <v>390</v>
      </c>
      <c r="AJ5" s="29" t="s">
        <v>391</v>
      </c>
      <c r="AK5" s="29"/>
      <c r="AL5" s="30" t="s">
        <v>392</v>
      </c>
      <c r="AM5" s="31" t="s">
        <v>389</v>
      </c>
      <c r="AN5" s="32" t="s">
        <v>388</v>
      </c>
      <c r="AP5" s="296" t="s">
        <v>393</v>
      </c>
      <c r="AQ5" s="296" t="s">
        <v>394</v>
      </c>
      <c r="AR5" s="296" t="s">
        <v>395</v>
      </c>
      <c r="AS5" s="297" t="s">
        <v>396</v>
      </c>
    </row>
    <row r="6" spans="1:45">
      <c r="A6" s="298" t="s">
        <v>397</v>
      </c>
      <c r="B6" s="286"/>
      <c r="C6" s="287"/>
      <c r="D6" s="286"/>
      <c r="E6" s="286"/>
      <c r="F6" s="22"/>
      <c r="G6" s="286"/>
      <c r="H6" s="299" t="s">
        <v>398</v>
      </c>
      <c r="N6" s="288" t="s">
        <v>399</v>
      </c>
      <c r="T6" s="288" t="s">
        <v>400</v>
      </c>
      <c r="Z6" s="288" t="s">
        <v>401</v>
      </c>
    </row>
    <row r="7" spans="1:45">
      <c r="A7" s="288" t="s">
        <v>80</v>
      </c>
      <c r="B7" s="288">
        <v>180</v>
      </c>
      <c r="C7" s="294">
        <v>27</v>
      </c>
      <c r="D7" s="300">
        <f>B7*C7</f>
        <v>4860</v>
      </c>
      <c r="E7" s="288">
        <v>250</v>
      </c>
      <c r="F7" s="23">
        <f t="shared" ref="F7:F12" si="0">B7/E7</f>
        <v>0.72</v>
      </c>
      <c r="H7" s="288">
        <v>167</v>
      </c>
      <c r="I7" s="289">
        <v>27.36</v>
      </c>
      <c r="J7" s="290">
        <f>H7*I7</f>
        <v>4569.12</v>
      </c>
      <c r="K7" s="288">
        <v>250</v>
      </c>
      <c r="L7" s="291">
        <f t="shared" ref="L7:L12" si="1">H7/K7</f>
        <v>0.66800000000000004</v>
      </c>
      <c r="N7" s="288">
        <v>181</v>
      </c>
      <c r="O7" s="289">
        <v>27.98</v>
      </c>
      <c r="P7" s="290">
        <f>N7*O7</f>
        <v>5064.38</v>
      </c>
      <c r="Q7" s="288">
        <v>470</v>
      </c>
      <c r="R7" s="291">
        <f t="shared" ref="R7:R12" si="2">N7/Q7</f>
        <v>0.3851063829787234</v>
      </c>
      <c r="T7" s="288">
        <v>217</v>
      </c>
      <c r="U7" s="289">
        <f>V7/T7</f>
        <v>24.262672811059907</v>
      </c>
      <c r="V7" s="290">
        <v>5265</v>
      </c>
      <c r="W7" s="288">
        <v>470</v>
      </c>
      <c r="X7" s="291">
        <f t="shared" ref="X7:X12" si="3">T7/W7</f>
        <v>0.46170212765957447</v>
      </c>
      <c r="Z7" s="288">
        <v>140</v>
      </c>
      <c r="AA7" s="289">
        <f>AB7/Z7</f>
        <v>23.75</v>
      </c>
      <c r="AB7" s="290">
        <v>3325</v>
      </c>
      <c r="AC7" s="288">
        <v>470</v>
      </c>
      <c r="AD7" s="291">
        <f t="shared" ref="AD7:AD12" si="4">Z7/AC7</f>
        <v>0.2978723404255319</v>
      </c>
      <c r="AF7" s="288">
        <v>253</v>
      </c>
      <c r="AG7" s="289">
        <f>AH7/AF7</f>
        <v>24.351778656126481</v>
      </c>
      <c r="AH7" s="290">
        <v>6161</v>
      </c>
      <c r="AI7" s="288">
        <v>505</v>
      </c>
      <c r="AJ7" s="291">
        <f t="shared" ref="AJ7:AJ12" si="5">AF7/AI7</f>
        <v>0.50099009900990099</v>
      </c>
      <c r="AL7" s="288">
        <v>145</v>
      </c>
      <c r="AM7" s="292">
        <v>3470</v>
      </c>
      <c r="AN7" s="289">
        <f>AM7/AL7</f>
        <v>23.931034482758619</v>
      </c>
      <c r="AP7" s="293">
        <v>1500</v>
      </c>
      <c r="AQ7" s="301">
        <v>288</v>
      </c>
      <c r="AR7" s="301"/>
      <c r="AS7" s="301">
        <v>125</v>
      </c>
    </row>
    <row r="8" spans="1:45">
      <c r="A8" s="302" t="s">
        <v>77</v>
      </c>
      <c r="B8" s="302">
        <v>490</v>
      </c>
      <c r="C8" s="303">
        <v>24</v>
      </c>
      <c r="D8" s="304">
        <f>B8*C8</f>
        <v>11760</v>
      </c>
      <c r="E8" s="302">
        <v>967</v>
      </c>
      <c r="F8" s="33">
        <f t="shared" si="0"/>
        <v>0.50672182006204758</v>
      </c>
      <c r="G8" s="302"/>
      <c r="H8" s="288">
        <v>479</v>
      </c>
      <c r="I8" s="289">
        <v>22.585000000000001</v>
      </c>
      <c r="J8" s="290">
        <f>H8*I8</f>
        <v>10818.215</v>
      </c>
      <c r="K8" s="288">
        <v>967</v>
      </c>
      <c r="L8" s="291">
        <f>H8/K8</f>
        <v>0.49534643226473629</v>
      </c>
      <c r="N8" s="288">
        <v>269</v>
      </c>
      <c r="O8" s="289">
        <v>26.76</v>
      </c>
      <c r="P8" s="290">
        <f>N8*O8</f>
        <v>7198.4400000000005</v>
      </c>
      <c r="Q8" s="288">
        <v>325</v>
      </c>
      <c r="R8" s="291">
        <f>N8/Q8</f>
        <v>0.82769230769230773</v>
      </c>
      <c r="T8" s="288">
        <v>320</v>
      </c>
      <c r="U8" s="289">
        <f>V8/T8</f>
        <v>24.328125</v>
      </c>
      <c r="V8" s="290">
        <v>7785</v>
      </c>
      <c r="W8" s="288">
        <v>325</v>
      </c>
      <c r="X8" s="291">
        <f>T8/W8</f>
        <v>0.98461538461538467</v>
      </c>
      <c r="Z8" s="288">
        <v>293</v>
      </c>
      <c r="AA8" s="289">
        <f>AB8/Z8</f>
        <v>23.686006825938566</v>
      </c>
      <c r="AB8" s="290">
        <v>6940</v>
      </c>
      <c r="AC8" s="288">
        <v>325</v>
      </c>
      <c r="AD8" s="291">
        <f>Z8/AC8</f>
        <v>0.90153846153846151</v>
      </c>
      <c r="AF8" s="288">
        <v>269</v>
      </c>
      <c r="AG8" s="289">
        <f>AH8/AF8</f>
        <v>23.494423791821561</v>
      </c>
      <c r="AH8" s="290">
        <v>6320</v>
      </c>
      <c r="AI8" s="288">
        <v>325</v>
      </c>
      <c r="AJ8" s="291">
        <f>AF8/AI8</f>
        <v>0.82769230769230773</v>
      </c>
      <c r="AL8" s="288">
        <v>199</v>
      </c>
      <c r="AM8" s="292">
        <v>4558</v>
      </c>
      <c r="AN8" s="289">
        <f>AM8/AL8</f>
        <v>22.904522613065328</v>
      </c>
      <c r="AP8" s="293">
        <v>4500</v>
      </c>
      <c r="AQ8" s="293">
        <f>Z8*0.5</f>
        <v>146.5</v>
      </c>
      <c r="AR8" s="293">
        <f>AB8*0.025</f>
        <v>173.5</v>
      </c>
      <c r="AS8" s="293">
        <v>125</v>
      </c>
    </row>
    <row r="9" spans="1:45">
      <c r="A9" s="302" t="s">
        <v>78</v>
      </c>
      <c r="B9" s="302">
        <v>190</v>
      </c>
      <c r="C9" s="303">
        <v>27</v>
      </c>
      <c r="D9" s="304">
        <f>B9*C9</f>
        <v>5130</v>
      </c>
      <c r="E9" s="302">
        <v>500</v>
      </c>
      <c r="F9" s="33">
        <f t="shared" si="0"/>
        <v>0.38</v>
      </c>
      <c r="G9" s="302"/>
      <c r="H9" s="288">
        <v>180</v>
      </c>
      <c r="I9" s="289">
        <v>27.614999999999998</v>
      </c>
      <c r="J9" s="290">
        <f>H9*I9</f>
        <v>4970.7</v>
      </c>
      <c r="K9" s="302">
        <v>500</v>
      </c>
      <c r="L9" s="291">
        <f>H9/K9</f>
        <v>0.36</v>
      </c>
      <c r="N9" s="288">
        <v>190</v>
      </c>
      <c r="O9" s="289">
        <v>27.4</v>
      </c>
      <c r="P9" s="290">
        <f>N9*O9</f>
        <v>5206</v>
      </c>
      <c r="Q9" s="302">
        <v>300</v>
      </c>
      <c r="R9" s="291">
        <f>N9/Q9</f>
        <v>0.6333333333333333</v>
      </c>
      <c r="T9" s="288">
        <v>367</v>
      </c>
      <c r="U9" s="289">
        <f>V9/T9</f>
        <v>24.673024523160763</v>
      </c>
      <c r="V9" s="290">
        <v>9055</v>
      </c>
      <c r="W9" s="302">
        <v>400</v>
      </c>
      <c r="X9" s="291">
        <f>T9/W9</f>
        <v>0.91749999999999998</v>
      </c>
      <c r="Z9" s="288">
        <v>229</v>
      </c>
      <c r="AA9" s="289">
        <f>AB9/Z9</f>
        <v>24.301310043668121</v>
      </c>
      <c r="AB9" s="290">
        <v>5565</v>
      </c>
      <c r="AC9" s="302">
        <v>300</v>
      </c>
      <c r="AD9" s="291">
        <f>Z9/AC9</f>
        <v>0.76333333333333331</v>
      </c>
      <c r="AF9" s="288">
        <v>213</v>
      </c>
      <c r="AG9" s="289">
        <f>AH9/AF9</f>
        <v>23.779342723004696</v>
      </c>
      <c r="AH9" s="290">
        <v>5065</v>
      </c>
      <c r="AI9" s="302">
        <v>300</v>
      </c>
      <c r="AJ9" s="291">
        <f>AF9/AI9</f>
        <v>0.71</v>
      </c>
      <c r="AP9" s="293">
        <v>500</v>
      </c>
      <c r="AQ9" s="293">
        <f>Z9*0.5</f>
        <v>114.5</v>
      </c>
      <c r="AR9" s="293">
        <f>AB9*0.025</f>
        <v>139.125</v>
      </c>
      <c r="AS9" s="301">
        <v>0</v>
      </c>
    </row>
    <row r="10" spans="1:45">
      <c r="A10" s="288" t="s">
        <v>82</v>
      </c>
      <c r="B10" s="302">
        <v>170</v>
      </c>
      <c r="C10" s="294">
        <v>27</v>
      </c>
      <c r="D10" s="300">
        <f>B10*C10</f>
        <v>4590</v>
      </c>
      <c r="E10" s="288">
        <v>460</v>
      </c>
      <c r="F10" s="23">
        <f t="shared" si="0"/>
        <v>0.36956521739130432</v>
      </c>
      <c r="H10" s="288">
        <v>169</v>
      </c>
      <c r="I10" s="289">
        <v>26.995000000000001</v>
      </c>
      <c r="J10" s="290">
        <f>H10*I10</f>
        <v>4562.1549999999997</v>
      </c>
      <c r="K10" s="288">
        <v>460</v>
      </c>
      <c r="L10" s="291">
        <f t="shared" si="1"/>
        <v>0.36739130434782608</v>
      </c>
      <c r="N10" s="288">
        <v>153</v>
      </c>
      <c r="O10" s="289">
        <v>27.03</v>
      </c>
      <c r="P10" s="290">
        <f>N10*O10</f>
        <v>4135.59</v>
      </c>
      <c r="Q10" s="288">
        <v>700</v>
      </c>
      <c r="R10" s="291">
        <f t="shared" si="2"/>
        <v>0.21857142857142858</v>
      </c>
      <c r="T10" s="288">
        <v>420</v>
      </c>
      <c r="U10" s="289">
        <f t="shared" ref="U10:U11" si="6">V10/T10</f>
        <v>24.535714285714285</v>
      </c>
      <c r="V10" s="290">
        <v>10305</v>
      </c>
      <c r="W10" s="288">
        <v>500</v>
      </c>
      <c r="X10" s="291">
        <f t="shared" si="3"/>
        <v>0.84</v>
      </c>
      <c r="Z10" s="288">
        <v>181</v>
      </c>
      <c r="AA10" s="289">
        <f t="shared" ref="AA10:AA11" si="7">AB10/Z10</f>
        <v>24.613259668508288</v>
      </c>
      <c r="AB10" s="290">
        <v>4455</v>
      </c>
      <c r="AC10" s="288">
        <v>700</v>
      </c>
      <c r="AD10" s="291">
        <f t="shared" si="4"/>
        <v>0.25857142857142856</v>
      </c>
      <c r="AF10" s="288">
        <v>213</v>
      </c>
      <c r="AG10" s="289">
        <v>23.68</v>
      </c>
      <c r="AH10" s="290">
        <v>4900</v>
      </c>
      <c r="AI10" s="288">
        <v>700</v>
      </c>
      <c r="AJ10" s="291">
        <f t="shared" si="5"/>
        <v>0.30428571428571427</v>
      </c>
      <c r="AL10" s="288">
        <v>213</v>
      </c>
      <c r="AM10" s="292">
        <v>5054</v>
      </c>
      <c r="AN10" s="289">
        <f>AM10/AL10</f>
        <v>23.727699530516432</v>
      </c>
      <c r="AP10" s="293">
        <v>450</v>
      </c>
      <c r="AQ10" s="293">
        <f>Z10*0.5</f>
        <v>90.5</v>
      </c>
      <c r="AR10" s="293">
        <f>AB10*0.025</f>
        <v>111.375</v>
      </c>
      <c r="AS10" s="293">
        <v>0</v>
      </c>
    </row>
    <row r="11" spans="1:45">
      <c r="A11" s="288" t="s">
        <v>402</v>
      </c>
      <c r="B11" s="302">
        <v>200</v>
      </c>
      <c r="C11" s="294">
        <v>27</v>
      </c>
      <c r="D11" s="300">
        <f>B11*C11</f>
        <v>5400</v>
      </c>
      <c r="E11" s="302">
        <v>650</v>
      </c>
      <c r="F11" s="23">
        <f t="shared" si="0"/>
        <v>0.30769230769230771</v>
      </c>
      <c r="H11" s="302">
        <v>171</v>
      </c>
      <c r="I11" s="289">
        <v>27.611999999999998</v>
      </c>
      <c r="J11" s="290">
        <f>H11*I11</f>
        <v>4721.652</v>
      </c>
      <c r="K11" s="288">
        <v>650</v>
      </c>
      <c r="L11" s="291">
        <f t="shared" si="1"/>
        <v>0.2630769230769231</v>
      </c>
      <c r="N11" s="302">
        <v>275</v>
      </c>
      <c r="O11" s="289">
        <v>26.3</v>
      </c>
      <c r="P11" s="290">
        <f>N11*O11</f>
        <v>7232.5</v>
      </c>
      <c r="Q11" s="288">
        <v>450</v>
      </c>
      <c r="R11" s="291">
        <f t="shared" si="2"/>
        <v>0.61111111111111116</v>
      </c>
      <c r="T11" s="302">
        <v>486</v>
      </c>
      <c r="U11" s="289">
        <f t="shared" si="6"/>
        <v>24.382716049382715</v>
      </c>
      <c r="V11" s="290">
        <v>11850</v>
      </c>
      <c r="W11" s="288">
        <v>700</v>
      </c>
      <c r="X11" s="291">
        <f t="shared" si="3"/>
        <v>0.69428571428571428</v>
      </c>
      <c r="Z11" s="302">
        <v>349</v>
      </c>
      <c r="AA11" s="289">
        <f t="shared" si="7"/>
        <v>23.862464183381089</v>
      </c>
      <c r="AB11" s="290">
        <v>8328</v>
      </c>
      <c r="AC11" s="288">
        <v>450</v>
      </c>
      <c r="AD11" s="291">
        <f t="shared" si="4"/>
        <v>0.77555555555555555</v>
      </c>
      <c r="AF11" s="302">
        <v>227</v>
      </c>
      <c r="AG11" s="289">
        <f>AH11/AF11</f>
        <v>24.030837004405285</v>
      </c>
      <c r="AH11" s="290">
        <v>5455</v>
      </c>
      <c r="AI11" s="288">
        <v>450</v>
      </c>
      <c r="AJ11" s="291">
        <f t="shared" si="5"/>
        <v>0.50444444444444447</v>
      </c>
      <c r="AP11" s="301">
        <v>800</v>
      </c>
      <c r="AQ11" s="293">
        <f>Z11*0.5</f>
        <v>174.5</v>
      </c>
      <c r="AR11" s="293">
        <f>AB11*0.025</f>
        <v>208.20000000000002</v>
      </c>
      <c r="AS11" s="301">
        <v>0</v>
      </c>
    </row>
    <row r="12" spans="1:45" s="305" customFormat="1">
      <c r="A12" s="305" t="s">
        <v>403</v>
      </c>
      <c r="B12" s="305">
        <v>1230</v>
      </c>
      <c r="C12" s="306">
        <f>D12/B12</f>
        <v>25.804878048780488</v>
      </c>
      <c r="D12" s="307">
        <f>SUM(D7:D11)</f>
        <v>31740</v>
      </c>
      <c r="E12" s="308">
        <f>SUM(E7:E11)</f>
        <v>2827</v>
      </c>
      <c r="F12" s="34">
        <f t="shared" si="0"/>
        <v>0.43509020162716661</v>
      </c>
      <c r="H12" s="305">
        <f>SUM(H7:H11)</f>
        <v>1166</v>
      </c>
      <c r="I12" s="289">
        <f>J12/H12</f>
        <v>25.421819897084045</v>
      </c>
      <c r="J12" s="290">
        <f>SUM(J7:J11)</f>
        <v>29641.841999999997</v>
      </c>
      <c r="K12" s="305">
        <f>SUM(K7:K11)</f>
        <v>2827</v>
      </c>
      <c r="L12" s="291">
        <f t="shared" si="1"/>
        <v>0.41245136186770426</v>
      </c>
      <c r="N12" s="305">
        <f>SUM(N7:N11)</f>
        <v>1068</v>
      </c>
      <c r="O12" s="289">
        <f>P12/N12</f>
        <v>27.000852059925094</v>
      </c>
      <c r="P12" s="290">
        <f>SUM(P7:P11)</f>
        <v>28836.91</v>
      </c>
      <c r="Q12" s="305">
        <f>SUM(Q7:Q11)</f>
        <v>2245</v>
      </c>
      <c r="R12" s="291">
        <f t="shared" si="2"/>
        <v>0.4757238307349666</v>
      </c>
      <c r="T12" s="305">
        <f>SUM(T7:T11)</f>
        <v>1810</v>
      </c>
      <c r="U12" s="289">
        <f>V12/T12</f>
        <v>24.453038674033149</v>
      </c>
      <c r="V12" s="290">
        <f>SUM(V7:V11)</f>
        <v>44260</v>
      </c>
      <c r="W12" s="305">
        <f>SUM(W7:W11)</f>
        <v>2395</v>
      </c>
      <c r="X12" s="291">
        <f t="shared" si="3"/>
        <v>0.75574112734864296</v>
      </c>
      <c r="Z12" s="305">
        <f>SUM(Z7:Z11)</f>
        <v>1192</v>
      </c>
      <c r="AA12" s="289">
        <f>AB12/Z12</f>
        <v>24.004194630872483</v>
      </c>
      <c r="AB12" s="290">
        <f>SUM(AB7:AB11)</f>
        <v>28613</v>
      </c>
      <c r="AC12" s="305">
        <f>SUM(AC7:AC11)</f>
        <v>2245</v>
      </c>
      <c r="AD12" s="291">
        <f t="shared" si="4"/>
        <v>0.53095768374164809</v>
      </c>
      <c r="AF12" s="305">
        <f>SUM(AF7:AF11)</f>
        <v>1175</v>
      </c>
      <c r="AG12" s="289">
        <f>AH12/AF12</f>
        <v>23.745531914893618</v>
      </c>
      <c r="AH12" s="290">
        <f>SUM(AH7:AH11)</f>
        <v>27901</v>
      </c>
      <c r="AI12" s="305">
        <f>SUM(AI7:AI11)</f>
        <v>2280</v>
      </c>
      <c r="AJ12" s="291">
        <f t="shared" si="5"/>
        <v>0.51535087719298245</v>
      </c>
      <c r="AK12" s="291"/>
      <c r="AL12" s="305">
        <f>SUM(AL7:AL11)</f>
        <v>557</v>
      </c>
      <c r="AM12" s="292">
        <f>SUM(AM7:AM11)</f>
        <v>13082</v>
      </c>
      <c r="AN12" s="289">
        <f>AM12/AL12</f>
        <v>23.486535008976659</v>
      </c>
      <c r="AP12" s="293">
        <f>SUM(AP7:AP11)</f>
        <v>7750</v>
      </c>
      <c r="AQ12" s="293">
        <f>SUM(AQ7:AQ11)</f>
        <v>814</v>
      </c>
      <c r="AR12" s="293">
        <f>SUM(AR7:AR11)</f>
        <v>632.20000000000005</v>
      </c>
      <c r="AS12" s="293">
        <f>SUM(AS7:AS11)</f>
        <v>250</v>
      </c>
    </row>
    <row r="14" spans="1:45">
      <c r="A14" s="309" t="s">
        <v>404</v>
      </c>
      <c r="B14" s="286"/>
      <c r="C14" s="287"/>
      <c r="D14" s="286"/>
      <c r="E14" s="286"/>
      <c r="F14" s="22"/>
      <c r="G14" s="286"/>
      <c r="H14" s="288" t="s">
        <v>55</v>
      </c>
      <c r="N14" s="288" t="s">
        <v>55</v>
      </c>
      <c r="T14" s="288" t="s">
        <v>55</v>
      </c>
      <c r="Z14" s="288" t="s">
        <v>55</v>
      </c>
    </row>
    <row r="15" spans="1:45">
      <c r="A15" s="288" t="s">
        <v>402</v>
      </c>
      <c r="B15" s="288">
        <v>525</v>
      </c>
      <c r="C15" s="294">
        <v>25</v>
      </c>
      <c r="D15" s="300">
        <f t="shared" ref="D15:D21" si="8">B15*C15</f>
        <v>13125</v>
      </c>
      <c r="E15" s="288">
        <v>650</v>
      </c>
      <c r="F15" s="23">
        <f t="shared" ref="F15:F21" si="9">B15/E15</f>
        <v>0.80769230769230771</v>
      </c>
      <c r="H15" s="310">
        <v>504</v>
      </c>
      <c r="I15" s="289">
        <v>25.77</v>
      </c>
      <c r="J15" s="290">
        <f>H15*I15</f>
        <v>12988.08</v>
      </c>
      <c r="K15" s="288">
        <v>650</v>
      </c>
      <c r="L15" s="291">
        <f>H15/K15</f>
        <v>0.77538461538461534</v>
      </c>
      <c r="N15" s="310">
        <v>555</v>
      </c>
      <c r="O15" s="289">
        <v>25.51</v>
      </c>
      <c r="P15" s="290">
        <f>N15*O15</f>
        <v>14158.050000000001</v>
      </c>
      <c r="Q15" s="288">
        <v>700</v>
      </c>
      <c r="R15" s="291">
        <f>N15/Q15</f>
        <v>0.79285714285714282</v>
      </c>
      <c r="T15" s="310">
        <v>698</v>
      </c>
      <c r="U15" s="289">
        <f>V15/T15</f>
        <v>23.689111747851001</v>
      </c>
      <c r="V15" s="290">
        <v>16535</v>
      </c>
      <c r="W15" s="288">
        <v>700</v>
      </c>
      <c r="X15" s="291">
        <f>T15/W15</f>
        <v>0.99714285714285711</v>
      </c>
      <c r="Z15" s="310">
        <v>573</v>
      </c>
      <c r="AA15" s="289">
        <f>AB15/Z15</f>
        <v>23.336823734729492</v>
      </c>
      <c r="AB15" s="290">
        <v>13372</v>
      </c>
      <c r="AC15" s="288">
        <v>700</v>
      </c>
      <c r="AD15" s="291">
        <f>Z15/AC15</f>
        <v>0.81857142857142862</v>
      </c>
      <c r="AF15" s="310">
        <v>646</v>
      </c>
      <c r="AG15" s="289">
        <f>AH15/AF15</f>
        <v>23.161764705882351</v>
      </c>
      <c r="AH15" s="290">
        <v>14962.5</v>
      </c>
      <c r="AI15" s="288">
        <v>750</v>
      </c>
      <c r="AJ15" s="291">
        <f>AF15/AI15</f>
        <v>0.86133333333333328</v>
      </c>
      <c r="AL15" s="288">
        <v>586</v>
      </c>
      <c r="AM15" s="292">
        <v>13658</v>
      </c>
      <c r="AN15" s="289">
        <f>AM15/AL15</f>
        <v>23.30716723549488</v>
      </c>
      <c r="AP15" s="301">
        <v>800</v>
      </c>
      <c r="AQ15" s="293">
        <f>Z15*0.5</f>
        <v>286.5</v>
      </c>
      <c r="AR15" s="293">
        <f>AB15*0.025</f>
        <v>334.3</v>
      </c>
      <c r="AS15" s="293">
        <v>0</v>
      </c>
    </row>
    <row r="16" spans="1:45">
      <c r="A16" s="302" t="s">
        <v>80</v>
      </c>
      <c r="B16" s="288">
        <v>225</v>
      </c>
      <c r="C16" s="294">
        <v>27</v>
      </c>
      <c r="D16" s="300">
        <f t="shared" si="8"/>
        <v>6075</v>
      </c>
      <c r="E16" s="288">
        <v>250</v>
      </c>
      <c r="F16" s="23">
        <f t="shared" si="9"/>
        <v>0.9</v>
      </c>
      <c r="H16" s="310"/>
      <c r="N16" s="310"/>
      <c r="T16" s="310"/>
      <c r="Z16" s="310"/>
      <c r="AF16" s="310"/>
      <c r="AP16" s="301"/>
    </row>
    <row r="17" spans="1:45">
      <c r="A17" s="288" t="s">
        <v>77</v>
      </c>
      <c r="B17" s="288">
        <v>900</v>
      </c>
      <c r="C17" s="294">
        <v>24</v>
      </c>
      <c r="D17" s="300">
        <f t="shared" si="8"/>
        <v>21600</v>
      </c>
      <c r="E17" s="288">
        <v>967</v>
      </c>
      <c r="F17" s="23">
        <f t="shared" si="9"/>
        <v>0.93071354705274045</v>
      </c>
      <c r="H17" s="310">
        <v>884</v>
      </c>
      <c r="I17" s="289">
        <v>22.16</v>
      </c>
      <c r="J17" s="290">
        <f>H17*I17</f>
        <v>19589.439999999999</v>
      </c>
      <c r="K17" s="288">
        <v>967</v>
      </c>
      <c r="L17" s="291">
        <f>H17/K17</f>
        <v>0.91416752843846949</v>
      </c>
      <c r="N17" s="310">
        <v>406</v>
      </c>
      <c r="O17" s="289">
        <v>26.22</v>
      </c>
      <c r="P17" s="290">
        <f>N17*O17</f>
        <v>10645.32</v>
      </c>
      <c r="Q17" s="288">
        <v>1200</v>
      </c>
      <c r="R17" s="291">
        <f>N17/Q17</f>
        <v>0.33833333333333332</v>
      </c>
      <c r="T17" s="310">
        <v>389</v>
      </c>
      <c r="U17" s="289">
        <f>V17/T17</f>
        <v>24.203084832904885</v>
      </c>
      <c r="V17" s="290">
        <v>9415</v>
      </c>
      <c r="W17" s="288">
        <v>1200</v>
      </c>
      <c r="X17" s="291">
        <f>T17/W17</f>
        <v>0.32416666666666666</v>
      </c>
      <c r="Z17" s="310">
        <v>438</v>
      </c>
      <c r="AA17" s="289">
        <f>AB17/Z17</f>
        <v>23.493150684931507</v>
      </c>
      <c r="AB17" s="290">
        <v>10290</v>
      </c>
      <c r="AC17" s="288">
        <v>470</v>
      </c>
      <c r="AD17" s="291">
        <f>Z17/AC17</f>
        <v>0.93191489361702129</v>
      </c>
      <c r="AF17" s="310">
        <v>460</v>
      </c>
      <c r="AG17" s="311">
        <f>AH17/AF17</f>
        <v>22.930434782608696</v>
      </c>
      <c r="AH17" s="290">
        <v>10548</v>
      </c>
      <c r="AI17" s="288">
        <v>505</v>
      </c>
      <c r="AJ17" s="291">
        <f>AF17/AI17</f>
        <v>0.91089108910891092</v>
      </c>
      <c r="AP17" s="301">
        <v>4500</v>
      </c>
      <c r="AQ17" s="293">
        <f>AB17*0.04</f>
        <v>411.6</v>
      </c>
      <c r="AR17" s="293">
        <f>AB17/4*0.025</f>
        <v>64.3125</v>
      </c>
      <c r="AS17" s="293">
        <v>125</v>
      </c>
    </row>
    <row r="18" spans="1:45">
      <c r="A18" s="302" t="s">
        <v>82</v>
      </c>
      <c r="B18" s="302">
        <v>400</v>
      </c>
      <c r="C18" s="303">
        <v>24</v>
      </c>
      <c r="D18" s="304">
        <f t="shared" si="8"/>
        <v>9600</v>
      </c>
      <c r="E18" s="302">
        <v>460</v>
      </c>
      <c r="F18" s="33">
        <f t="shared" si="9"/>
        <v>0.86956521739130432</v>
      </c>
      <c r="G18" s="302"/>
      <c r="H18" s="310">
        <v>385</v>
      </c>
      <c r="I18" s="289">
        <v>24.83</v>
      </c>
      <c r="J18" s="290">
        <f>H18*I18</f>
        <v>9559.5499999999993</v>
      </c>
      <c r="K18" s="288">
        <v>460</v>
      </c>
      <c r="L18" s="291">
        <f>H18/K18</f>
        <v>0.83695652173913049</v>
      </c>
      <c r="N18" s="310">
        <v>451</v>
      </c>
      <c r="O18" s="289">
        <v>23.82</v>
      </c>
      <c r="P18" s="290">
        <f>N18*O18</f>
        <v>10742.82</v>
      </c>
      <c r="Q18" s="288">
        <v>460</v>
      </c>
      <c r="R18" s="291">
        <f>N18/Q18</f>
        <v>0.98043478260869565</v>
      </c>
      <c r="T18" s="310">
        <v>453</v>
      </c>
      <c r="U18" s="289">
        <f>V18/T18</f>
        <v>23.880794701986755</v>
      </c>
      <c r="V18" s="290">
        <v>10818</v>
      </c>
      <c r="W18" s="288">
        <v>500</v>
      </c>
      <c r="X18" s="291">
        <f>T18/W18</f>
        <v>0.90600000000000003</v>
      </c>
      <c r="Z18" s="310">
        <v>432</v>
      </c>
      <c r="AA18" s="289">
        <f>AB18/Z18</f>
        <v>22.69212962962963</v>
      </c>
      <c r="AB18" s="290">
        <v>9803</v>
      </c>
      <c r="AC18" s="288">
        <v>460</v>
      </c>
      <c r="AD18" s="291">
        <f>Z18/AC18</f>
        <v>0.93913043478260871</v>
      </c>
      <c r="AF18" s="310"/>
      <c r="AP18" s="293">
        <v>450</v>
      </c>
      <c r="AQ18" s="293">
        <f>Z18*0.5</f>
        <v>216</v>
      </c>
      <c r="AR18" s="293">
        <f>AB18*0.025</f>
        <v>245.07500000000002</v>
      </c>
      <c r="AS18" s="293">
        <v>300</v>
      </c>
    </row>
    <row r="19" spans="1:45">
      <c r="A19" s="288" t="s">
        <v>405</v>
      </c>
      <c r="B19" s="302">
        <v>425</v>
      </c>
      <c r="C19" s="294">
        <v>25</v>
      </c>
      <c r="D19" s="300">
        <f t="shared" si="8"/>
        <v>10625</v>
      </c>
      <c r="E19" s="302">
        <v>560</v>
      </c>
      <c r="F19" s="23">
        <f t="shared" si="9"/>
        <v>0.7589285714285714</v>
      </c>
      <c r="H19" s="310">
        <v>414</v>
      </c>
      <c r="I19" s="289">
        <v>24.652000000000001</v>
      </c>
      <c r="J19" s="290">
        <f>H19*I19</f>
        <v>10205.928</v>
      </c>
      <c r="K19" s="288">
        <v>560</v>
      </c>
      <c r="L19" s="291">
        <f>H19/K19</f>
        <v>0.73928571428571432</v>
      </c>
      <c r="N19" s="310"/>
      <c r="T19" s="310"/>
      <c r="Z19" s="310"/>
      <c r="AF19" s="310">
        <v>646</v>
      </c>
      <c r="AG19" s="289">
        <f>AH19/AF19</f>
        <v>23.161764705882351</v>
      </c>
      <c r="AH19" s="290">
        <v>14962.5</v>
      </c>
      <c r="AI19" s="288">
        <v>750</v>
      </c>
      <c r="AJ19" s="291">
        <f>AF19/AI19</f>
        <v>0.86133333333333328</v>
      </c>
      <c r="AL19" s="288">
        <v>586</v>
      </c>
      <c r="AM19" s="292">
        <v>13658</v>
      </c>
      <c r="AN19" s="289">
        <f>AM19/AL19</f>
        <v>23.30716723549488</v>
      </c>
      <c r="AP19" s="301">
        <v>800</v>
      </c>
      <c r="AQ19" s="293">
        <f>Z19*0.5</f>
        <v>0</v>
      </c>
      <c r="AR19" s="293">
        <f>AB19*0.025</f>
        <v>0</v>
      </c>
      <c r="AS19" s="293">
        <v>0</v>
      </c>
    </row>
    <row r="20" spans="1:45">
      <c r="A20" s="302" t="s">
        <v>78</v>
      </c>
      <c r="B20" s="302">
        <v>460</v>
      </c>
      <c r="C20" s="303">
        <v>25</v>
      </c>
      <c r="D20" s="304">
        <f t="shared" si="8"/>
        <v>11500</v>
      </c>
      <c r="E20" s="302">
        <v>500</v>
      </c>
      <c r="F20" s="33">
        <f t="shared" si="9"/>
        <v>0.92</v>
      </c>
      <c r="G20" s="302"/>
      <c r="H20" s="288">
        <v>444</v>
      </c>
      <c r="I20" s="289">
        <v>25.931999999999999</v>
      </c>
      <c r="J20" s="290">
        <f>H20*I20</f>
        <v>11513.807999999999</v>
      </c>
      <c r="K20" s="302">
        <v>500</v>
      </c>
      <c r="L20" s="291">
        <f>H20/K20</f>
        <v>0.88800000000000001</v>
      </c>
      <c r="Q20" s="302"/>
      <c r="W20" s="302"/>
      <c r="AC20" s="302"/>
      <c r="AF20" s="288">
        <v>213</v>
      </c>
      <c r="AG20" s="289">
        <f>AH20/AF20</f>
        <v>23.779342723004696</v>
      </c>
      <c r="AH20" s="290">
        <v>5065</v>
      </c>
      <c r="AI20" s="302">
        <v>300</v>
      </c>
      <c r="AJ20" s="291">
        <f t="shared" ref="AJ20" si="10">AF20/AI20</f>
        <v>0.71</v>
      </c>
      <c r="AP20" s="293">
        <v>500</v>
      </c>
      <c r="AQ20" s="293">
        <f>Z20*0.5</f>
        <v>0</v>
      </c>
      <c r="AR20" s="293">
        <f>AB20*0.025</f>
        <v>0</v>
      </c>
      <c r="AS20" s="301">
        <v>0</v>
      </c>
    </row>
    <row r="21" spans="1:45">
      <c r="A21" s="302" t="s">
        <v>81</v>
      </c>
      <c r="B21" s="302">
        <v>440</v>
      </c>
      <c r="C21" s="303">
        <v>25</v>
      </c>
      <c r="D21" s="304">
        <f t="shared" si="8"/>
        <v>11000</v>
      </c>
      <c r="E21" s="302">
        <v>460</v>
      </c>
      <c r="F21" s="33">
        <f t="shared" si="9"/>
        <v>0.95652173913043481</v>
      </c>
      <c r="G21" s="302"/>
      <c r="H21" s="310">
        <v>440</v>
      </c>
      <c r="I21" s="289">
        <v>25.148</v>
      </c>
      <c r="J21" s="290">
        <f>H21*I21</f>
        <v>11065.119999999999</v>
      </c>
      <c r="K21" s="288">
        <v>460</v>
      </c>
      <c r="L21" s="291">
        <f>H21/K21</f>
        <v>0.95652173913043481</v>
      </c>
      <c r="N21" s="310">
        <v>432</v>
      </c>
      <c r="O21" s="289">
        <v>24.48</v>
      </c>
      <c r="P21" s="290">
        <f>N21*O21</f>
        <v>10575.36</v>
      </c>
      <c r="Q21" s="288">
        <v>460</v>
      </c>
      <c r="R21" s="291">
        <f>N21/Q21</f>
        <v>0.93913043478260871</v>
      </c>
      <c r="T21" s="310">
        <v>439</v>
      </c>
      <c r="U21" s="289">
        <f t="shared" ref="U21" si="11">V21/T21</f>
        <v>22.744874715261957</v>
      </c>
      <c r="V21" s="290">
        <v>9985</v>
      </c>
      <c r="W21" s="288">
        <v>460</v>
      </c>
      <c r="X21" s="291">
        <f>T21/W21</f>
        <v>0.95434782608695656</v>
      </c>
      <c r="Z21" s="310">
        <v>426</v>
      </c>
      <c r="AA21" s="289">
        <f t="shared" ref="AA21" si="12">AB21/Z21</f>
        <v>22.08450704225352</v>
      </c>
      <c r="AB21" s="290">
        <v>9408</v>
      </c>
      <c r="AC21" s="288">
        <v>460</v>
      </c>
      <c r="AD21" s="291">
        <f>Z21/AC21</f>
        <v>0.92608695652173911</v>
      </c>
      <c r="AF21" s="310">
        <v>426</v>
      </c>
      <c r="AG21" s="289">
        <f>AH21/AF21</f>
        <v>22.15962441314554</v>
      </c>
      <c r="AH21" s="290">
        <v>9440</v>
      </c>
      <c r="AI21" s="288">
        <v>440</v>
      </c>
      <c r="AJ21" s="291">
        <f>AF21/AI21</f>
        <v>0.96818181818181814</v>
      </c>
      <c r="AL21" s="288">
        <v>411</v>
      </c>
      <c r="AM21" s="292">
        <v>9572</v>
      </c>
      <c r="AN21" s="289">
        <f>AM21/AL21</f>
        <v>23.289537712895378</v>
      </c>
      <c r="AP21" s="293">
        <v>900</v>
      </c>
      <c r="AQ21" s="293">
        <f>Z21*0.5</f>
        <v>213</v>
      </c>
      <c r="AR21" s="293">
        <f>AB21*0.025</f>
        <v>235.20000000000002</v>
      </c>
      <c r="AS21" s="293">
        <v>300</v>
      </c>
    </row>
    <row r="22" spans="1:45">
      <c r="A22" s="288" t="s">
        <v>406</v>
      </c>
      <c r="D22" s="300"/>
      <c r="H22" s="310">
        <v>245</v>
      </c>
      <c r="I22" s="289">
        <v>27.43</v>
      </c>
      <c r="J22" s="290">
        <f t="shared" ref="J22" si="13">H22*I22</f>
        <v>6720.35</v>
      </c>
      <c r="K22" s="288">
        <v>300</v>
      </c>
      <c r="L22" s="291">
        <f t="shared" ref="L22:L24" si="14">H22/K22</f>
        <v>0.81666666666666665</v>
      </c>
      <c r="N22" s="310">
        <v>243</v>
      </c>
      <c r="O22" s="289">
        <v>26.99</v>
      </c>
      <c r="P22" s="290">
        <f>N22*O22</f>
        <v>6558.57</v>
      </c>
      <c r="Q22" s="288">
        <v>300</v>
      </c>
      <c r="R22" s="291">
        <f t="shared" ref="R22:R24" si="15">N22/Q22</f>
        <v>0.81</v>
      </c>
      <c r="T22" s="310">
        <v>262</v>
      </c>
      <c r="U22" s="289">
        <f>V22/T22</f>
        <v>24.274809160305342</v>
      </c>
      <c r="V22" s="290">
        <v>6360</v>
      </c>
      <c r="W22" s="288">
        <v>290</v>
      </c>
      <c r="X22" s="291">
        <f t="shared" ref="X22:X24" si="16">T22/W22</f>
        <v>0.90344827586206899</v>
      </c>
      <c r="Z22" s="310">
        <v>254</v>
      </c>
      <c r="AA22" s="289">
        <f>AB22/Z22</f>
        <v>24.677165354330707</v>
      </c>
      <c r="AB22" s="290">
        <v>6268</v>
      </c>
      <c r="AC22" s="288">
        <v>300</v>
      </c>
      <c r="AD22" s="291">
        <f t="shared" ref="AD22:AD24" si="17">Z22/AC22</f>
        <v>0.84666666666666668</v>
      </c>
      <c r="AF22" s="310">
        <v>269</v>
      </c>
      <c r="AG22" s="289">
        <f>AH22/AF22</f>
        <v>24.823420074349443</v>
      </c>
      <c r="AH22" s="290">
        <v>6677.5</v>
      </c>
      <c r="AI22" s="288">
        <v>300</v>
      </c>
      <c r="AJ22" s="291">
        <f>AF22/AI22</f>
        <v>0.89666666666666661</v>
      </c>
      <c r="AL22" s="288">
        <v>279</v>
      </c>
      <c r="AM22" s="292">
        <v>6864.5</v>
      </c>
      <c r="AN22" s="289">
        <f>AM22/AL22</f>
        <v>24.603942652329749</v>
      </c>
      <c r="AP22" s="293">
        <v>0</v>
      </c>
      <c r="AQ22" s="293">
        <f>Z22*0.5</f>
        <v>127</v>
      </c>
      <c r="AR22" s="293">
        <f>AB22*0.025</f>
        <v>156.70000000000002</v>
      </c>
      <c r="AS22" s="293">
        <v>125</v>
      </c>
    </row>
    <row r="23" spans="1:45">
      <c r="A23" s="326" t="s">
        <v>589</v>
      </c>
      <c r="B23" s="302">
        <v>275</v>
      </c>
      <c r="C23" s="294">
        <f>D23/B23</f>
        <v>25</v>
      </c>
      <c r="D23" s="300">
        <v>6875</v>
      </c>
      <c r="H23" s="310"/>
      <c r="N23" s="310"/>
      <c r="T23" s="310"/>
      <c r="Z23" s="310"/>
      <c r="AF23" s="310"/>
    </row>
    <row r="24" spans="1:45" s="305" customFormat="1">
      <c r="A24" s="305" t="s">
        <v>403</v>
      </c>
      <c r="B24" s="305">
        <f>SUM(B15:B23)</f>
        <v>3650</v>
      </c>
      <c r="C24" s="306">
        <f>D24/B24</f>
        <v>24.767123287671232</v>
      </c>
      <c r="D24" s="307">
        <f>SUM(D15:D23)</f>
        <v>90400</v>
      </c>
      <c r="E24" s="305">
        <f>SUM(E15:E21)</f>
        <v>3847</v>
      </c>
      <c r="F24" s="34">
        <f>B24/E24</f>
        <v>0.94879126592149732</v>
      </c>
      <c r="H24" s="310">
        <f>SUM(H15:H23)</f>
        <v>3316</v>
      </c>
      <c r="I24" s="289">
        <f>J24/H24</f>
        <v>24.620710494571771</v>
      </c>
      <c r="J24" s="290">
        <f>SUM(J15:J23)</f>
        <v>81642.275999999998</v>
      </c>
      <c r="K24" s="305">
        <f>SUM(K15:K23)</f>
        <v>3897</v>
      </c>
      <c r="L24" s="291">
        <f t="shared" si="14"/>
        <v>0.85091095714652298</v>
      </c>
      <c r="N24" s="310">
        <f>SUM(N15:N22)</f>
        <v>2087</v>
      </c>
      <c r="O24" s="289">
        <f>P24/N24</f>
        <v>25.242031624341159</v>
      </c>
      <c r="P24" s="290">
        <f>SUM(P15:P22)</f>
        <v>52680.12</v>
      </c>
      <c r="Q24" s="305">
        <f>SUM(Q15:Q22)</f>
        <v>3120</v>
      </c>
      <c r="R24" s="291">
        <f t="shared" si="15"/>
        <v>0.66891025641025637</v>
      </c>
      <c r="T24" s="310">
        <f>SUM(T15:T22)</f>
        <v>2241</v>
      </c>
      <c r="U24" s="289">
        <f>V24/T24</f>
        <v>23.700580098170459</v>
      </c>
      <c r="V24" s="290">
        <f>SUM(V15:V22)</f>
        <v>53113</v>
      </c>
      <c r="W24" s="305">
        <f>SUM(W15:W22)</f>
        <v>3150</v>
      </c>
      <c r="X24" s="291">
        <f t="shared" si="16"/>
        <v>0.71142857142857141</v>
      </c>
      <c r="Z24" s="310">
        <f>SUM(Z15:Z22)</f>
        <v>2123</v>
      </c>
      <c r="AA24" s="289">
        <f>AB24/Z24</f>
        <v>23.146961846443713</v>
      </c>
      <c r="AB24" s="290">
        <f>SUM(AB15:AB22)</f>
        <v>49141</v>
      </c>
      <c r="AC24" s="305">
        <f>SUM(AC15:AC22)</f>
        <v>2390</v>
      </c>
      <c r="AD24" s="291">
        <f t="shared" si="17"/>
        <v>0.88828451882845183</v>
      </c>
      <c r="AF24" s="310">
        <f>SUM(AF22:AF22)</f>
        <v>269</v>
      </c>
      <c r="AG24" s="289">
        <f>AH24/AF24</f>
        <v>24.823420074349443</v>
      </c>
      <c r="AH24" s="290">
        <f>SUM(AH22:AH22)</f>
        <v>6677.5</v>
      </c>
      <c r="AI24" s="305">
        <f>SUM(AI22:AI22)</f>
        <v>300</v>
      </c>
      <c r="AJ24" s="291">
        <f>AF24/AI24</f>
        <v>0.89666666666666661</v>
      </c>
      <c r="AK24" s="291"/>
      <c r="AL24" s="305">
        <f>SUM(AL22:AL22)</f>
        <v>279</v>
      </c>
      <c r="AM24" s="292">
        <f>SUM(AM22:AM22)</f>
        <v>6864.5</v>
      </c>
      <c r="AN24" s="289">
        <f>AM24/AL24</f>
        <v>24.603942652329749</v>
      </c>
      <c r="AP24" s="293">
        <f>SUM(AP15:AP22)</f>
        <v>7950</v>
      </c>
      <c r="AQ24" s="293">
        <f>SUM(AQ15:AQ22)</f>
        <v>1254.0999999999999</v>
      </c>
      <c r="AR24" s="293">
        <f>SUM(AR15:AR22)</f>
        <v>1035.5875000000001</v>
      </c>
      <c r="AS24" s="293">
        <f>SUM(AS15:AS22)</f>
        <v>850</v>
      </c>
    </row>
    <row r="25" spans="1:45">
      <c r="K25" s="312"/>
    </row>
    <row r="26" spans="1:45">
      <c r="A26" s="309" t="s">
        <v>407</v>
      </c>
      <c r="B26" s="286"/>
      <c r="C26" s="287"/>
      <c r="D26" s="286"/>
      <c r="E26" s="286"/>
      <c r="F26" s="22"/>
      <c r="G26" s="286"/>
      <c r="H26" s="288" t="s">
        <v>408</v>
      </c>
      <c r="N26" s="288" t="s">
        <v>409</v>
      </c>
      <c r="T26" s="288" t="s">
        <v>410</v>
      </c>
      <c r="Z26" s="288" t="s">
        <v>411</v>
      </c>
    </row>
    <row r="27" spans="1:45">
      <c r="A27" s="288" t="s">
        <v>80</v>
      </c>
      <c r="B27" s="288">
        <v>180</v>
      </c>
      <c r="C27" s="294">
        <v>27</v>
      </c>
      <c r="D27" s="300">
        <f>B27*C27</f>
        <v>4860</v>
      </c>
      <c r="E27" s="288">
        <v>250</v>
      </c>
      <c r="H27" s="288">
        <v>167</v>
      </c>
      <c r="I27" s="289">
        <v>27.95</v>
      </c>
      <c r="J27" s="290">
        <f>H27*I27</f>
        <v>4667.6499999999996</v>
      </c>
      <c r="K27" s="288">
        <v>250</v>
      </c>
      <c r="L27" s="291">
        <f t="shared" ref="L27:L32" si="18">H27/K27</f>
        <v>0.66800000000000004</v>
      </c>
      <c r="N27" s="288">
        <v>179</v>
      </c>
      <c r="O27" s="289">
        <v>27.94</v>
      </c>
      <c r="P27" s="290">
        <f>N27*O27</f>
        <v>5001.26</v>
      </c>
      <c r="Q27" s="288">
        <v>505</v>
      </c>
      <c r="R27" s="291">
        <f t="shared" ref="R27:R32" si="19">N27/Q27</f>
        <v>0.35445544554455444</v>
      </c>
      <c r="T27" s="288">
        <v>259</v>
      </c>
      <c r="U27" s="289">
        <f>V27/T27</f>
        <v>23.320463320463322</v>
      </c>
      <c r="V27" s="290">
        <v>6040</v>
      </c>
      <c r="W27" s="288">
        <v>505</v>
      </c>
      <c r="X27" s="291">
        <f t="shared" ref="X27:X32" si="20">T27/W27</f>
        <v>0.51287128712871288</v>
      </c>
      <c r="Z27" s="288">
        <v>138</v>
      </c>
      <c r="AA27" s="289">
        <f>AB27/Z27</f>
        <v>24.021739130434781</v>
      </c>
      <c r="AB27" s="290">
        <v>3315</v>
      </c>
      <c r="AC27" s="288">
        <v>505</v>
      </c>
      <c r="AD27" s="291">
        <f t="shared" ref="AD27:AD32" si="21">Z27/AC27</f>
        <v>0.27326732673267329</v>
      </c>
      <c r="AF27" s="288">
        <v>221</v>
      </c>
      <c r="AG27" s="289">
        <v>24.05</v>
      </c>
      <c r="AH27" s="290">
        <f>AF27*AG27</f>
        <v>5315.05</v>
      </c>
      <c r="AI27" s="288">
        <v>505</v>
      </c>
      <c r="AJ27" s="291">
        <f t="shared" ref="AJ27:AJ32" si="22">AF27/AI27</f>
        <v>0.43762376237623762</v>
      </c>
      <c r="AL27" s="288">
        <v>182</v>
      </c>
      <c r="AM27" s="292">
        <v>4314</v>
      </c>
      <c r="AN27" s="289">
        <f t="shared" ref="AN27:AN32" si="23">AM27/AL27</f>
        <v>23.703296703296704</v>
      </c>
      <c r="AP27" s="293">
        <v>1500</v>
      </c>
      <c r="AQ27" s="301">
        <v>288</v>
      </c>
      <c r="AR27" s="301">
        <f>AB27/4*0.025</f>
        <v>20.71875</v>
      </c>
      <c r="AS27" s="293">
        <v>125</v>
      </c>
    </row>
    <row r="28" spans="1:45">
      <c r="A28" s="288" t="s">
        <v>82</v>
      </c>
      <c r="B28" s="288">
        <v>190</v>
      </c>
      <c r="C28" s="294">
        <v>27</v>
      </c>
      <c r="D28" s="300">
        <f>B28*C28</f>
        <v>5130</v>
      </c>
      <c r="E28" s="288">
        <v>460</v>
      </c>
      <c r="H28" s="288">
        <v>176</v>
      </c>
      <c r="I28" s="289">
        <v>26.93</v>
      </c>
      <c r="J28" s="290">
        <f>H28*I28</f>
        <v>4739.68</v>
      </c>
      <c r="K28" s="288">
        <v>460</v>
      </c>
      <c r="L28" s="291">
        <f>H28/K28</f>
        <v>0.38260869565217392</v>
      </c>
      <c r="N28" s="288">
        <v>245</v>
      </c>
      <c r="O28" s="289">
        <v>26.44</v>
      </c>
      <c r="P28" s="290">
        <f>N28*O28</f>
        <v>6477.8</v>
      </c>
      <c r="Q28" s="288">
        <v>300</v>
      </c>
      <c r="R28" s="291">
        <f>N28/Q28</f>
        <v>0.81666666666666665</v>
      </c>
      <c r="T28" s="288">
        <v>220</v>
      </c>
      <c r="U28" s="289">
        <f>V28/T28</f>
        <v>24.25</v>
      </c>
      <c r="V28" s="290">
        <v>5335</v>
      </c>
      <c r="W28" s="288">
        <v>500</v>
      </c>
      <c r="X28" s="291">
        <f>T28/W28</f>
        <v>0.44</v>
      </c>
      <c r="Z28" s="288">
        <v>219</v>
      </c>
      <c r="AA28" s="289">
        <f>AB28/Z28</f>
        <v>23.141552511415526</v>
      </c>
      <c r="AB28" s="290">
        <v>5068</v>
      </c>
      <c r="AC28" s="288">
        <v>300</v>
      </c>
      <c r="AD28" s="291">
        <f>Z28/AC28</f>
        <v>0.73</v>
      </c>
      <c r="AF28" s="288">
        <v>222</v>
      </c>
      <c r="AG28" s="289">
        <f>AH28/AF28</f>
        <v>24.391891891891891</v>
      </c>
      <c r="AH28" s="290">
        <v>5415</v>
      </c>
      <c r="AI28" s="288">
        <v>300</v>
      </c>
      <c r="AJ28" s="291">
        <f>AF28/AI28</f>
        <v>0.74</v>
      </c>
      <c r="AL28" s="288">
        <v>115</v>
      </c>
      <c r="AM28" s="292">
        <v>2835</v>
      </c>
      <c r="AN28" s="289">
        <f>AM28/AL28</f>
        <v>24.652173913043477</v>
      </c>
      <c r="AP28" s="293">
        <v>450</v>
      </c>
      <c r="AQ28" s="293">
        <f>Z28*0.5</f>
        <v>109.5</v>
      </c>
      <c r="AR28" s="293">
        <f>AB28*0.025</f>
        <v>126.7</v>
      </c>
    </row>
    <row r="29" spans="1:45">
      <c r="A29" s="288" t="s">
        <v>77</v>
      </c>
      <c r="B29" s="288">
        <v>500</v>
      </c>
      <c r="C29" s="294">
        <v>23</v>
      </c>
      <c r="D29" s="300">
        <f>B29*C29</f>
        <v>11500</v>
      </c>
      <c r="E29" s="288">
        <v>967</v>
      </c>
      <c r="H29" s="288">
        <v>459</v>
      </c>
      <c r="I29" s="289">
        <v>22.238</v>
      </c>
      <c r="J29" s="290">
        <f>H29*I29</f>
        <v>10207.242</v>
      </c>
      <c r="K29" s="288">
        <v>967</v>
      </c>
      <c r="L29" s="291">
        <f t="shared" si="18"/>
        <v>0.47466390899689764</v>
      </c>
      <c r="N29" s="288">
        <v>819</v>
      </c>
      <c r="O29" s="289">
        <v>24.89</v>
      </c>
      <c r="P29" s="290">
        <f>N29*O29</f>
        <v>20384.91</v>
      </c>
      <c r="Q29" s="288">
        <v>700</v>
      </c>
      <c r="R29" s="291">
        <f t="shared" si="19"/>
        <v>1.17</v>
      </c>
      <c r="T29" s="288">
        <v>286</v>
      </c>
      <c r="U29" s="289">
        <f t="shared" ref="U29:U31" si="24">V29/T29</f>
        <v>23.566433566433567</v>
      </c>
      <c r="V29" s="290">
        <v>6740</v>
      </c>
      <c r="W29" s="288">
        <v>900</v>
      </c>
      <c r="X29" s="291">
        <f t="shared" si="20"/>
        <v>0.31777777777777777</v>
      </c>
      <c r="Z29" s="288">
        <v>202</v>
      </c>
      <c r="AA29" s="289">
        <f t="shared" ref="AA29:AA31" si="25">AB29/Z29</f>
        <v>24.331683168316832</v>
      </c>
      <c r="AB29" s="290">
        <v>4915</v>
      </c>
      <c r="AC29" s="288">
        <v>700</v>
      </c>
      <c r="AD29" s="291">
        <f t="shared" si="21"/>
        <v>0.28857142857142859</v>
      </c>
      <c r="AF29" s="288">
        <v>313</v>
      </c>
      <c r="AG29" s="289">
        <f>AH29/AF29</f>
        <v>22.800319488817891</v>
      </c>
      <c r="AH29" s="290">
        <v>7136.5</v>
      </c>
      <c r="AI29" s="288">
        <v>700</v>
      </c>
      <c r="AJ29" s="291">
        <f t="shared" si="22"/>
        <v>0.44714285714285712</v>
      </c>
      <c r="AL29" s="288">
        <v>306</v>
      </c>
      <c r="AM29" s="292">
        <v>7227.5</v>
      </c>
      <c r="AN29" s="289">
        <f t="shared" si="23"/>
        <v>23.619281045751634</v>
      </c>
      <c r="AP29" s="293">
        <v>4500</v>
      </c>
      <c r="AQ29" s="293">
        <f>Z29*0.5</f>
        <v>101</v>
      </c>
      <c r="AR29" s="293">
        <f>AB29*0.025</f>
        <v>122.875</v>
      </c>
    </row>
    <row r="30" spans="1:45">
      <c r="A30" s="288" t="s">
        <v>78</v>
      </c>
      <c r="B30" s="302">
        <v>200</v>
      </c>
      <c r="C30" s="294">
        <v>26</v>
      </c>
      <c r="D30" s="300">
        <f>B30*C30</f>
        <v>5200</v>
      </c>
      <c r="E30" s="302">
        <v>500</v>
      </c>
      <c r="H30" s="288">
        <v>194</v>
      </c>
      <c r="I30" s="289">
        <v>26.81</v>
      </c>
      <c r="J30" s="290">
        <f>H30*I30</f>
        <v>5201.1399999999994</v>
      </c>
      <c r="K30" s="288">
        <v>500</v>
      </c>
      <c r="L30" s="291">
        <f t="shared" si="18"/>
        <v>0.38800000000000001</v>
      </c>
      <c r="N30" s="288">
        <v>131</v>
      </c>
      <c r="O30" s="289">
        <v>26.79</v>
      </c>
      <c r="P30" s="290">
        <f>N30*O30</f>
        <v>3509.49</v>
      </c>
      <c r="Q30" s="288">
        <v>325</v>
      </c>
      <c r="R30" s="291">
        <f t="shared" si="19"/>
        <v>0.40307692307692305</v>
      </c>
      <c r="T30" s="288">
        <v>213</v>
      </c>
      <c r="U30" s="289">
        <f t="shared" si="24"/>
        <v>22.535211267605632</v>
      </c>
      <c r="V30" s="290">
        <v>4800</v>
      </c>
      <c r="W30" s="288">
        <v>400</v>
      </c>
      <c r="X30" s="291">
        <f t="shared" si="20"/>
        <v>0.53249999999999997</v>
      </c>
      <c r="Z30" s="288">
        <v>274</v>
      </c>
      <c r="AA30" s="289">
        <f t="shared" si="25"/>
        <v>24.324817518248175</v>
      </c>
      <c r="AB30" s="290">
        <v>6665</v>
      </c>
      <c r="AC30" s="288">
        <v>325</v>
      </c>
      <c r="AD30" s="291">
        <f>Z30/AC30</f>
        <v>0.84307692307692306</v>
      </c>
      <c r="AF30" s="288">
        <v>292</v>
      </c>
      <c r="AG30" s="289">
        <f>AH30/AF30</f>
        <v>23.407534246575342</v>
      </c>
      <c r="AH30" s="290">
        <v>6835</v>
      </c>
      <c r="AI30" s="288">
        <v>325</v>
      </c>
      <c r="AJ30" s="291">
        <f>AF30/AI30</f>
        <v>0.89846153846153842</v>
      </c>
      <c r="AL30" s="288">
        <v>247</v>
      </c>
      <c r="AM30" s="292">
        <v>5706.5</v>
      </c>
      <c r="AN30" s="289">
        <f>AM30/AL30</f>
        <v>23.103238866396762</v>
      </c>
      <c r="AP30" s="293">
        <v>500</v>
      </c>
      <c r="AQ30" s="293">
        <f>Z30*0.5</f>
        <v>137</v>
      </c>
      <c r="AR30" s="293">
        <f>AB30*0.025</f>
        <v>166.625</v>
      </c>
      <c r="AS30" s="293">
        <v>125</v>
      </c>
    </row>
    <row r="31" spans="1:45">
      <c r="A31" s="288" t="s">
        <v>412</v>
      </c>
      <c r="B31" s="302">
        <v>300</v>
      </c>
      <c r="C31" s="294">
        <v>26</v>
      </c>
      <c r="D31" s="300">
        <f>B31*C31</f>
        <v>7800</v>
      </c>
      <c r="E31" s="302">
        <v>470</v>
      </c>
      <c r="H31" s="302">
        <v>288</v>
      </c>
      <c r="I31" s="289">
        <v>26.71</v>
      </c>
      <c r="J31" s="290">
        <f>H31*I31</f>
        <v>7692.4800000000005</v>
      </c>
      <c r="K31" s="288">
        <v>470</v>
      </c>
      <c r="L31" s="291">
        <f t="shared" si="18"/>
        <v>0.61276595744680851</v>
      </c>
      <c r="N31" s="302">
        <v>242</v>
      </c>
      <c r="O31" s="289">
        <v>25.9</v>
      </c>
      <c r="P31" s="290">
        <f>N31*O31</f>
        <v>6267.7999999999993</v>
      </c>
      <c r="Q31" s="288">
        <v>325</v>
      </c>
      <c r="R31" s="291">
        <f t="shared" si="19"/>
        <v>0.74461538461538457</v>
      </c>
      <c r="T31" s="302">
        <v>271</v>
      </c>
      <c r="U31" s="289">
        <f t="shared" si="24"/>
        <v>24.225092250922508</v>
      </c>
      <c r="V31" s="290">
        <v>6565</v>
      </c>
      <c r="W31" s="288">
        <v>700</v>
      </c>
      <c r="X31" s="291">
        <f t="shared" si="20"/>
        <v>0.38714285714285712</v>
      </c>
      <c r="Z31" s="302">
        <v>267</v>
      </c>
      <c r="AA31" s="289">
        <f t="shared" si="25"/>
        <v>23.801498127340825</v>
      </c>
      <c r="AB31" s="290">
        <v>6355</v>
      </c>
      <c r="AC31" s="288">
        <v>325</v>
      </c>
      <c r="AD31" s="291">
        <f t="shared" si="21"/>
        <v>0.82153846153846155</v>
      </c>
      <c r="AF31" s="302">
        <v>237</v>
      </c>
      <c r="AG31" s="289">
        <f>AH31/AF31</f>
        <v>22.637130801687764</v>
      </c>
      <c r="AH31" s="290">
        <v>5365</v>
      </c>
      <c r="AI31" s="288">
        <v>450</v>
      </c>
      <c r="AJ31" s="291">
        <f t="shared" si="22"/>
        <v>0.52666666666666662</v>
      </c>
      <c r="AL31" s="288">
        <v>243</v>
      </c>
      <c r="AM31" s="292">
        <v>5517</v>
      </c>
      <c r="AN31" s="289">
        <f t="shared" si="23"/>
        <v>22.703703703703702</v>
      </c>
      <c r="AP31" s="301">
        <v>750</v>
      </c>
      <c r="AQ31" s="293">
        <f>Z31*0.5</f>
        <v>133.5</v>
      </c>
      <c r="AR31" s="293">
        <f>AB31*0.025</f>
        <v>158.875</v>
      </c>
    </row>
    <row r="32" spans="1:45" s="305" customFormat="1">
      <c r="A32" s="305" t="s">
        <v>403</v>
      </c>
      <c r="B32" s="305">
        <v>1370</v>
      </c>
      <c r="C32" s="306">
        <v>25</v>
      </c>
      <c r="D32" s="307">
        <f>SUM(D27:D31)</f>
        <v>34490</v>
      </c>
      <c r="E32" s="305">
        <f>SUM(E27:E31)</f>
        <v>2647</v>
      </c>
      <c r="F32" s="34"/>
      <c r="H32" s="305">
        <f>SUM(H27:H31)</f>
        <v>1284</v>
      </c>
      <c r="I32" s="289">
        <f>J32/H32</f>
        <v>25.317906542056075</v>
      </c>
      <c r="J32" s="290">
        <f>SUM(J27:J31)</f>
        <v>32508.191999999999</v>
      </c>
      <c r="K32" s="305">
        <f>SUM(K27:K31)</f>
        <v>2647</v>
      </c>
      <c r="L32" s="291">
        <f t="shared" si="18"/>
        <v>0.48507744616547033</v>
      </c>
      <c r="N32" s="305">
        <f>SUM(N27:N31)</f>
        <v>1616</v>
      </c>
      <c r="O32" s="289">
        <f>P32/N32</f>
        <v>25.76810643564356</v>
      </c>
      <c r="P32" s="290">
        <f>SUM(P27:P31)</f>
        <v>41641.259999999995</v>
      </c>
      <c r="Q32" s="305">
        <f>SUM(Q27:Q31)</f>
        <v>2155</v>
      </c>
      <c r="R32" s="291">
        <f t="shared" si="19"/>
        <v>0.74988399071925749</v>
      </c>
      <c r="T32" s="305">
        <f>SUM(T27:T31)</f>
        <v>1249</v>
      </c>
      <c r="U32" s="289">
        <f>V32/T32</f>
        <v>23.602882305844677</v>
      </c>
      <c r="V32" s="290">
        <f>SUM(V27:V31)</f>
        <v>29480</v>
      </c>
      <c r="W32" s="305">
        <f>SUM(W27:W31)</f>
        <v>3005</v>
      </c>
      <c r="X32" s="291">
        <f t="shared" si="20"/>
        <v>0.41564059900166389</v>
      </c>
      <c r="Z32" s="305">
        <f>SUM(Z27:Z31)</f>
        <v>1100</v>
      </c>
      <c r="AA32" s="289">
        <f>AB32/Z32</f>
        <v>23.925454545454546</v>
      </c>
      <c r="AB32" s="290">
        <f>SUM(AB27:AB31)</f>
        <v>26318</v>
      </c>
      <c r="AC32" s="305">
        <f>SUM(AC27:AC31)</f>
        <v>2155</v>
      </c>
      <c r="AD32" s="291">
        <f t="shared" si="21"/>
        <v>0.51044083526682138</v>
      </c>
      <c r="AF32" s="305">
        <f>SUM(AF27:AF31)</f>
        <v>1285</v>
      </c>
      <c r="AG32" s="289">
        <f>AH32/AF32</f>
        <v>23.398093385214008</v>
      </c>
      <c r="AH32" s="290">
        <f>SUM(AH27:AH31)</f>
        <v>30066.55</v>
      </c>
      <c r="AI32" s="305">
        <f>SUM(AI27:AI31)</f>
        <v>2280</v>
      </c>
      <c r="AJ32" s="291">
        <f t="shared" si="22"/>
        <v>0.56359649122807021</v>
      </c>
      <c r="AK32" s="291"/>
      <c r="AL32" s="305">
        <f>SUM(AL27:AL31)</f>
        <v>1093</v>
      </c>
      <c r="AM32" s="292">
        <f>SUM(AM27:AM31)</f>
        <v>25600</v>
      </c>
      <c r="AN32" s="289">
        <f t="shared" si="23"/>
        <v>23.42177493138152</v>
      </c>
      <c r="AP32" s="293">
        <f>SUM(AP27:AP31)</f>
        <v>7700</v>
      </c>
      <c r="AQ32" s="293">
        <f>SUM(AQ27:AQ31)</f>
        <v>769</v>
      </c>
      <c r="AR32" s="293">
        <f>SUM(AR27:AR31)</f>
        <v>595.79375000000005</v>
      </c>
      <c r="AS32" s="293">
        <f>SUM(AS27:AS31)</f>
        <v>250</v>
      </c>
    </row>
    <row r="34" spans="1:45">
      <c r="A34" s="309" t="s">
        <v>56</v>
      </c>
      <c r="B34" s="286"/>
      <c r="C34" s="287"/>
      <c r="D34" s="286"/>
      <c r="E34" s="313"/>
      <c r="F34" s="22"/>
      <c r="G34" s="286"/>
    </row>
    <row r="35" spans="1:45">
      <c r="A35" s="35">
        <v>42888</v>
      </c>
      <c r="B35" s="36">
        <v>450</v>
      </c>
      <c r="C35" s="37">
        <v>25</v>
      </c>
      <c r="D35" s="38">
        <f>B35*C35</f>
        <v>11250</v>
      </c>
      <c r="E35" s="39">
        <v>485</v>
      </c>
      <c r="G35" s="35"/>
      <c r="H35" s="288">
        <v>414</v>
      </c>
      <c r="I35" s="289">
        <v>21.3</v>
      </c>
      <c r="J35" s="290">
        <f>H35*I35</f>
        <v>8818.2000000000007</v>
      </c>
      <c r="K35" s="39">
        <v>485</v>
      </c>
    </row>
    <row r="36" spans="1:45">
      <c r="A36" s="35">
        <v>42889</v>
      </c>
      <c r="B36" s="36">
        <v>450</v>
      </c>
      <c r="C36" s="37">
        <v>25</v>
      </c>
      <c r="D36" s="38">
        <f>B36*C36</f>
        <v>11250</v>
      </c>
      <c r="E36" s="39">
        <v>485</v>
      </c>
      <c r="G36" s="35"/>
      <c r="H36" s="288">
        <v>469</v>
      </c>
      <c r="I36" s="289">
        <f>J36/H36</f>
        <v>25.085287846481876</v>
      </c>
      <c r="J36" s="290">
        <v>11765</v>
      </c>
      <c r="K36" s="39">
        <v>485</v>
      </c>
    </row>
    <row r="37" spans="1:45">
      <c r="A37" s="35">
        <v>42894</v>
      </c>
      <c r="B37" s="36">
        <v>400</v>
      </c>
      <c r="C37" s="37">
        <v>25</v>
      </c>
      <c r="D37" s="38">
        <f>B37*C37</f>
        <v>10000</v>
      </c>
      <c r="E37" s="39">
        <v>485</v>
      </c>
      <c r="G37" s="35"/>
      <c r="H37" s="288">
        <v>428</v>
      </c>
      <c r="I37" s="289">
        <f>J37/H37</f>
        <v>25.411214953271028</v>
      </c>
      <c r="J37" s="290">
        <v>10876</v>
      </c>
      <c r="K37" s="39">
        <v>485</v>
      </c>
    </row>
    <row r="38" spans="1:45">
      <c r="A38" s="35">
        <v>42895</v>
      </c>
      <c r="B38" s="36">
        <v>450</v>
      </c>
      <c r="C38" s="37">
        <v>25</v>
      </c>
      <c r="D38" s="38">
        <f>B38*C38</f>
        <v>11250</v>
      </c>
      <c r="E38" s="39">
        <v>485</v>
      </c>
      <c r="G38" s="35"/>
      <c r="H38" s="302">
        <v>455</v>
      </c>
      <c r="I38" s="289">
        <f>J38/H38</f>
        <v>24.472527472527471</v>
      </c>
      <c r="J38" s="290">
        <v>11135</v>
      </c>
      <c r="K38" s="39">
        <v>485</v>
      </c>
    </row>
    <row r="39" spans="1:45">
      <c r="A39" s="35">
        <v>42896</v>
      </c>
      <c r="B39" s="36">
        <v>450</v>
      </c>
      <c r="C39" s="37">
        <v>25</v>
      </c>
      <c r="D39" s="38">
        <f>B39*C39</f>
        <v>11250</v>
      </c>
      <c r="E39" s="39">
        <v>485</v>
      </c>
      <c r="G39" s="35"/>
      <c r="H39" s="302">
        <v>479</v>
      </c>
      <c r="I39" s="289">
        <f>J39/H39</f>
        <v>26.7098121085595</v>
      </c>
      <c r="J39" s="290">
        <v>12794</v>
      </c>
      <c r="K39" s="39">
        <v>485</v>
      </c>
    </row>
    <row r="40" spans="1:45">
      <c r="A40" s="288" t="s">
        <v>413</v>
      </c>
      <c r="B40" s="40">
        <v>2200</v>
      </c>
      <c r="C40" s="41">
        <v>25</v>
      </c>
      <c r="D40" s="42">
        <f>SUM(D35:D39)</f>
        <v>55000</v>
      </c>
      <c r="E40" s="43">
        <f>SUM(E35:E39)</f>
        <v>2425</v>
      </c>
      <c r="H40" s="288">
        <f>SUM(H35:H39)</f>
        <v>2245</v>
      </c>
      <c r="I40" s="289">
        <f>J40/H40</f>
        <v>24.671804008908683</v>
      </c>
      <c r="J40" s="290">
        <f>SUM(J35:J39)</f>
        <v>55388.2</v>
      </c>
      <c r="K40" s="288">
        <f>505*5</f>
        <v>2525</v>
      </c>
      <c r="L40" s="291">
        <f>H40/K40</f>
        <v>0.88910891089108912</v>
      </c>
      <c r="N40" s="288">
        <v>1626</v>
      </c>
      <c r="O40" s="289">
        <v>24.89</v>
      </c>
      <c r="P40" s="290">
        <f>N40*O40</f>
        <v>40471.14</v>
      </c>
      <c r="Q40" s="288">
        <f>505*5</f>
        <v>2525</v>
      </c>
      <c r="R40" s="291">
        <f>N40/Q40</f>
        <v>0.64396039603960398</v>
      </c>
      <c r="T40" s="288">
        <v>1678</v>
      </c>
      <c r="U40" s="289">
        <f>V40/T40</f>
        <v>23.927294398092968</v>
      </c>
      <c r="V40" s="290">
        <v>40150</v>
      </c>
      <c r="W40" s="288">
        <f>505*5</f>
        <v>2525</v>
      </c>
      <c r="X40" s="291">
        <f>T40/W40</f>
        <v>0.66455445544554459</v>
      </c>
      <c r="Z40" s="288">
        <v>1646</v>
      </c>
      <c r="AA40" s="289">
        <f>AB40/Z40</f>
        <v>23.84872417982989</v>
      </c>
      <c r="AB40" s="290">
        <v>39255</v>
      </c>
      <c r="AC40" s="288">
        <f>505*5</f>
        <v>2525</v>
      </c>
      <c r="AD40" s="291">
        <f>Z40/AC40</f>
        <v>0.65188118811881191</v>
      </c>
      <c r="AF40" s="288">
        <v>1612</v>
      </c>
      <c r="AG40" s="289">
        <f>AH40/AF40</f>
        <v>23.62406947890819</v>
      </c>
      <c r="AH40" s="290">
        <v>38082</v>
      </c>
      <c r="AI40" s="288">
        <v>2020</v>
      </c>
      <c r="AJ40" s="291">
        <f>AF40/AI40</f>
        <v>0.79801980198019806</v>
      </c>
      <c r="AL40" s="288">
        <v>1267</v>
      </c>
      <c r="AM40" s="292">
        <v>31022.5</v>
      </c>
      <c r="AN40" s="289">
        <f>AM40/AL40</f>
        <v>24.485003946329915</v>
      </c>
      <c r="AP40" s="293">
        <v>15000</v>
      </c>
      <c r="AQ40" s="301">
        <v>1300</v>
      </c>
      <c r="AR40" s="301"/>
      <c r="AS40" s="301">
        <v>600</v>
      </c>
    </row>
    <row r="41" spans="1:45">
      <c r="E41" s="314"/>
      <c r="H41" s="310"/>
      <c r="N41" s="310"/>
      <c r="T41" s="310"/>
      <c r="Z41" s="310"/>
      <c r="AF41" s="310"/>
    </row>
    <row r="42" spans="1:45" s="286" customFormat="1" ht="14">
      <c r="A42" s="286" t="s">
        <v>414</v>
      </c>
      <c r="B42" s="315">
        <f>B12+B24+B32+B40</f>
        <v>8450</v>
      </c>
      <c r="C42" s="287">
        <f>D42/B42</f>
        <v>25.044970414201185</v>
      </c>
      <c r="D42" s="316">
        <f>D12+D24+D32+D40</f>
        <v>211630</v>
      </c>
      <c r="E42" s="315">
        <f>E12+E24+E32+E40</f>
        <v>11746</v>
      </c>
      <c r="F42" s="22">
        <f>B42/E42</f>
        <v>0.71939383619955732</v>
      </c>
      <c r="H42" s="317">
        <f>H12+H24+H32+H40</f>
        <v>8011</v>
      </c>
      <c r="I42" s="318">
        <f>J42/H42</f>
        <v>24.863376607165151</v>
      </c>
      <c r="J42" s="319">
        <f>J12+J24+J32+J40</f>
        <v>199180.51</v>
      </c>
      <c r="K42" s="317">
        <f>K12+K24+K32+K40</f>
        <v>11896</v>
      </c>
      <c r="L42" s="320">
        <f>H42/K42</f>
        <v>0.67341963685272366</v>
      </c>
      <c r="N42" s="317">
        <f>N12+N24+N32+N40</f>
        <v>6397</v>
      </c>
      <c r="O42" s="318">
        <f>P42/N42</f>
        <v>25.579088635297794</v>
      </c>
      <c r="P42" s="319">
        <f>P12+P24+P32+P40</f>
        <v>163629.43</v>
      </c>
      <c r="Q42" s="317">
        <f>Q12+Q24+Q32+Q40</f>
        <v>10045</v>
      </c>
      <c r="R42" s="320">
        <f>N42/Q42</f>
        <v>0.63683424589347937</v>
      </c>
      <c r="T42" s="317">
        <f>T12+T24+T32+T40</f>
        <v>6978</v>
      </c>
      <c r="U42" s="318">
        <f>V42/T42</f>
        <v>23.932788764689022</v>
      </c>
      <c r="V42" s="319">
        <f>V12+V24+V32+V40</f>
        <v>167003</v>
      </c>
      <c r="W42" s="317">
        <f>W12+W24+W32+W40</f>
        <v>11075</v>
      </c>
      <c r="X42" s="320">
        <f>T42/W42</f>
        <v>0.63006772009029344</v>
      </c>
      <c r="Z42" s="317">
        <f>Z12+Z24+Z32+Z40</f>
        <v>6061</v>
      </c>
      <c r="AA42" s="318">
        <f>AB42/Z42</f>
        <v>23.647417917835341</v>
      </c>
      <c r="AB42" s="319">
        <f>AB12+AB24+AB32+AB40</f>
        <v>143327</v>
      </c>
      <c r="AC42" s="317">
        <f>AC12+AC24+AC32+AC40</f>
        <v>9315</v>
      </c>
      <c r="AD42" s="320">
        <f>Z42/AC42</f>
        <v>0.65067096081588838</v>
      </c>
      <c r="AF42" s="317">
        <f>AF12+AF24+AF32+AF40</f>
        <v>4341</v>
      </c>
      <c r="AG42" s="318">
        <f>AH42/AF42</f>
        <v>23.664374568071874</v>
      </c>
      <c r="AH42" s="319">
        <f>AH12+AH24+AH32+AH40</f>
        <v>102727.05</v>
      </c>
      <c r="AI42" s="317">
        <f>AI12+AI24+AI32+AI40</f>
        <v>6880</v>
      </c>
      <c r="AJ42" s="320">
        <f>AF42/AI42</f>
        <v>0.63095930232558139</v>
      </c>
      <c r="AK42" s="320"/>
      <c r="AL42" s="286">
        <f>AL40+AL32+AL24+AL12</f>
        <v>3196</v>
      </c>
      <c r="AM42" s="321">
        <f>AM40+AM32+AM24+AM12</f>
        <v>76569</v>
      </c>
      <c r="AN42" s="322">
        <f>AM42/AL42</f>
        <v>23.957759699624532</v>
      </c>
      <c r="AO42" s="321"/>
      <c r="AP42" s="319">
        <f>AP40+AP32+AP24+AP12</f>
        <v>38400</v>
      </c>
      <c r="AQ42" s="319">
        <f>AQ40+AQ32+AQ24+AQ12</f>
        <v>4137.1000000000004</v>
      </c>
      <c r="AR42" s="319">
        <f>AR40+AR32+AR24+AR12</f>
        <v>2263.5812500000002</v>
      </c>
      <c r="AS42" s="319">
        <f>AS40+AS32+AS24+AS12</f>
        <v>1950</v>
      </c>
    </row>
    <row r="43" spans="1:45">
      <c r="H43" s="310"/>
      <c r="K43" s="310"/>
      <c r="N43" s="310"/>
      <c r="Q43" s="310"/>
      <c r="T43" s="310"/>
      <c r="W43" s="310"/>
      <c r="Z43" s="310"/>
      <c r="AC43" s="310"/>
      <c r="AF43" s="310"/>
      <c r="AI43" s="310"/>
    </row>
    <row r="44" spans="1:45">
      <c r="H44" s="310"/>
      <c r="K44" s="310"/>
      <c r="N44" s="310"/>
      <c r="Q44" s="310"/>
      <c r="T44" s="310"/>
      <c r="W44" s="310"/>
      <c r="Z44" s="310"/>
      <c r="AC44" s="310"/>
      <c r="AF44" s="310"/>
      <c r="AI44" s="310"/>
    </row>
    <row r="45" spans="1:45">
      <c r="A45" s="288" t="s">
        <v>415</v>
      </c>
      <c r="B45" s="323">
        <f>B42-H42</f>
        <v>439</v>
      </c>
      <c r="D45" s="324">
        <f>J42</f>
        <v>199180.51</v>
      </c>
      <c r="H45" s="323">
        <f>H42-N42</f>
        <v>1614</v>
      </c>
      <c r="J45" s="290">
        <f>P42</f>
        <v>163629.43</v>
      </c>
      <c r="N45" s="323">
        <f>N42-T42</f>
        <v>-581</v>
      </c>
      <c r="P45" s="290">
        <f>V42</f>
        <v>167003</v>
      </c>
      <c r="T45" s="323">
        <f>T42-Z42</f>
        <v>917</v>
      </c>
      <c r="V45" s="290">
        <f>AB42</f>
        <v>143327</v>
      </c>
      <c r="Z45" s="323">
        <f>Z42-AF42</f>
        <v>1720</v>
      </c>
      <c r="AB45" s="290">
        <f>AH42</f>
        <v>102727.05</v>
      </c>
      <c r="AF45" s="323">
        <f>AF42-AL42</f>
        <v>1145</v>
      </c>
      <c r="AH45" s="290">
        <f>AM42</f>
        <v>76569</v>
      </c>
    </row>
    <row r="46" spans="1:45">
      <c r="A46" s="288" t="s">
        <v>416</v>
      </c>
      <c r="D46" s="325">
        <f>(D42/D45)-1</f>
        <v>6.2503555192222393E-2</v>
      </c>
      <c r="J46" s="291">
        <f>(J42/J45)-1</f>
        <v>0.21726580603501477</v>
      </c>
      <c r="P46" s="291">
        <f>(P42/P45)-1</f>
        <v>-2.0200655078052576E-2</v>
      </c>
      <c r="V46" s="291">
        <f>(V42/V45)-1</f>
        <v>0.1651886943841705</v>
      </c>
      <c r="AB46" s="291">
        <f>(AB42/AB45)-1</f>
        <v>0.39522160910879855</v>
      </c>
      <c r="AH46" s="291">
        <f>(AH42/AH45)-1</f>
        <v>0.34162715981663605</v>
      </c>
    </row>
    <row r="49" spans="3:45">
      <c r="C49" s="288"/>
      <c r="F49" s="288"/>
      <c r="I49" s="288"/>
      <c r="J49" s="288"/>
      <c r="L49" s="288"/>
      <c r="O49" s="288"/>
      <c r="P49" s="288"/>
      <c r="R49" s="288"/>
      <c r="U49" s="288"/>
      <c r="V49" s="288"/>
      <c r="X49" s="288"/>
      <c r="AA49" s="288"/>
      <c r="AB49" s="288"/>
      <c r="AD49" s="288"/>
      <c r="AG49" s="288"/>
      <c r="AH49" s="288"/>
      <c r="AJ49" s="288"/>
      <c r="AK49" s="288"/>
      <c r="AM49" s="288"/>
      <c r="AN49" s="288"/>
      <c r="AP49" s="288"/>
      <c r="AQ49" s="288"/>
      <c r="AR49" s="288"/>
      <c r="AS49" s="288"/>
    </row>
    <row r="50" spans="3:45">
      <c r="C50" s="288"/>
      <c r="F50" s="288"/>
      <c r="I50" s="288"/>
      <c r="J50" s="288"/>
      <c r="L50" s="288"/>
      <c r="O50" s="288"/>
      <c r="P50" s="288"/>
      <c r="R50" s="288"/>
      <c r="U50" s="288"/>
      <c r="V50" s="288"/>
      <c r="X50" s="288"/>
      <c r="AA50" s="288"/>
      <c r="AB50" s="288"/>
      <c r="AD50" s="288"/>
      <c r="AG50" s="288"/>
      <c r="AH50" s="288"/>
      <c r="AJ50" s="288"/>
      <c r="AK50" s="288"/>
      <c r="AM50" s="288"/>
      <c r="AN50" s="288"/>
      <c r="AP50" s="288"/>
      <c r="AQ50" s="288"/>
      <c r="AR50" s="288"/>
      <c r="AS50" s="288"/>
    </row>
    <row r="51" spans="3:45">
      <c r="C51" s="288"/>
      <c r="F51" s="288"/>
      <c r="I51" s="288"/>
      <c r="J51" s="288"/>
      <c r="L51" s="288"/>
      <c r="O51" s="288"/>
      <c r="P51" s="288"/>
      <c r="R51" s="288"/>
      <c r="U51" s="288"/>
      <c r="V51" s="288"/>
      <c r="X51" s="288"/>
      <c r="AA51" s="288"/>
      <c r="AB51" s="288"/>
      <c r="AD51" s="288"/>
      <c r="AG51" s="288"/>
      <c r="AH51" s="288"/>
      <c r="AJ51" s="288"/>
      <c r="AK51" s="288"/>
      <c r="AM51" s="288"/>
      <c r="AN51" s="288"/>
      <c r="AP51" s="288"/>
      <c r="AQ51" s="288"/>
      <c r="AR51" s="288"/>
      <c r="AS51" s="288"/>
    </row>
    <row r="52" spans="3:45">
      <c r="C52" s="288"/>
      <c r="F52" s="288"/>
      <c r="I52" s="288"/>
      <c r="J52" s="288"/>
      <c r="L52" s="288"/>
      <c r="O52" s="288"/>
      <c r="P52" s="288"/>
      <c r="R52" s="288"/>
      <c r="U52" s="288"/>
      <c r="V52" s="288"/>
      <c r="X52" s="288"/>
      <c r="AA52" s="288"/>
      <c r="AB52" s="288"/>
      <c r="AD52" s="288"/>
      <c r="AG52" s="288"/>
      <c r="AH52" s="288"/>
      <c r="AJ52" s="288"/>
      <c r="AK52" s="288"/>
      <c r="AM52" s="288"/>
      <c r="AN52" s="288"/>
      <c r="AP52" s="288"/>
      <c r="AQ52" s="288"/>
      <c r="AR52" s="288"/>
      <c r="AS52" s="288"/>
    </row>
    <row r="53" spans="3:45">
      <c r="C53" s="288"/>
      <c r="F53" s="288"/>
      <c r="I53" s="288"/>
      <c r="J53" s="288"/>
      <c r="L53" s="288"/>
      <c r="O53" s="288"/>
      <c r="P53" s="288"/>
      <c r="R53" s="288"/>
      <c r="U53" s="288"/>
      <c r="V53" s="288"/>
      <c r="X53" s="288"/>
      <c r="AA53" s="288"/>
      <c r="AB53" s="288"/>
      <c r="AD53" s="288"/>
      <c r="AG53" s="288"/>
      <c r="AH53" s="288"/>
      <c r="AJ53" s="288"/>
      <c r="AK53" s="288"/>
      <c r="AM53" s="288"/>
      <c r="AN53" s="288"/>
      <c r="AP53" s="288"/>
      <c r="AQ53" s="288"/>
      <c r="AR53" s="288"/>
      <c r="AS53" s="288"/>
    </row>
    <row r="54" spans="3:45">
      <c r="C54" s="288"/>
      <c r="F54" s="288"/>
      <c r="I54" s="288"/>
      <c r="J54" s="288"/>
      <c r="L54" s="288"/>
      <c r="O54" s="288"/>
      <c r="P54" s="288"/>
      <c r="R54" s="288"/>
      <c r="U54" s="288"/>
      <c r="V54" s="288"/>
      <c r="X54" s="288"/>
      <c r="AA54" s="288"/>
      <c r="AB54" s="288"/>
      <c r="AD54" s="288"/>
      <c r="AG54" s="288"/>
      <c r="AH54" s="288"/>
      <c r="AJ54" s="288"/>
      <c r="AK54" s="288"/>
      <c r="AM54" s="288"/>
      <c r="AN54" s="288"/>
      <c r="AP54" s="288"/>
      <c r="AQ54" s="288"/>
      <c r="AR54" s="288"/>
      <c r="AS54" s="288"/>
    </row>
    <row r="55" spans="3:45">
      <c r="C55" s="288"/>
      <c r="F55" s="288"/>
      <c r="I55" s="288"/>
      <c r="J55" s="288"/>
      <c r="L55" s="288"/>
      <c r="O55" s="288"/>
      <c r="P55" s="288"/>
      <c r="R55" s="288"/>
      <c r="U55" s="288"/>
      <c r="V55" s="288"/>
      <c r="X55" s="288"/>
      <c r="AA55" s="288"/>
      <c r="AB55" s="288"/>
      <c r="AD55" s="288"/>
      <c r="AG55" s="288"/>
      <c r="AH55" s="288"/>
      <c r="AJ55" s="288"/>
      <c r="AK55" s="288"/>
      <c r="AM55" s="288"/>
      <c r="AN55" s="288"/>
      <c r="AP55" s="288"/>
      <c r="AQ55" s="288"/>
      <c r="AR55" s="288"/>
      <c r="AS55" s="288"/>
    </row>
    <row r="56" spans="3:45">
      <c r="C56" s="288"/>
      <c r="F56" s="288"/>
      <c r="I56" s="288"/>
      <c r="J56" s="288"/>
      <c r="L56" s="288"/>
      <c r="O56" s="288"/>
      <c r="P56" s="288"/>
      <c r="R56" s="288"/>
      <c r="U56" s="288"/>
      <c r="V56" s="288"/>
      <c r="X56" s="288"/>
      <c r="AA56" s="288"/>
      <c r="AB56" s="288"/>
      <c r="AD56" s="288"/>
      <c r="AG56" s="288"/>
      <c r="AH56" s="288"/>
      <c r="AJ56" s="288"/>
      <c r="AK56" s="288"/>
      <c r="AM56" s="288"/>
      <c r="AN56" s="288"/>
      <c r="AP56" s="288"/>
      <c r="AQ56" s="288"/>
      <c r="AR56" s="288"/>
      <c r="AS56" s="288"/>
    </row>
    <row r="57" spans="3:45">
      <c r="C57" s="288"/>
      <c r="F57" s="288"/>
      <c r="I57" s="288"/>
      <c r="J57" s="288"/>
      <c r="L57" s="288"/>
      <c r="O57" s="288"/>
      <c r="P57" s="288"/>
      <c r="R57" s="288"/>
      <c r="U57" s="288"/>
      <c r="V57" s="288"/>
      <c r="X57" s="288"/>
      <c r="AA57" s="288"/>
      <c r="AB57" s="288"/>
      <c r="AD57" s="288"/>
      <c r="AG57" s="288"/>
      <c r="AH57" s="288"/>
      <c r="AJ57" s="288"/>
      <c r="AK57" s="288"/>
      <c r="AM57" s="288"/>
      <c r="AN57" s="288"/>
      <c r="AP57" s="288"/>
      <c r="AQ57" s="288"/>
      <c r="AR57" s="288"/>
      <c r="AS57" s="288"/>
    </row>
    <row r="58" spans="3:45">
      <c r="C58" s="288"/>
      <c r="F58" s="288"/>
      <c r="I58" s="288"/>
      <c r="J58" s="288"/>
      <c r="L58" s="288"/>
      <c r="O58" s="288"/>
      <c r="P58" s="288"/>
      <c r="R58" s="288"/>
      <c r="U58" s="288"/>
      <c r="V58" s="288"/>
      <c r="X58" s="288"/>
      <c r="AA58" s="288"/>
      <c r="AB58" s="288"/>
      <c r="AD58" s="288"/>
      <c r="AG58" s="288"/>
      <c r="AH58" s="288"/>
      <c r="AJ58" s="288"/>
      <c r="AK58" s="288"/>
      <c r="AM58" s="288"/>
      <c r="AN58" s="288"/>
      <c r="AP58" s="288"/>
      <c r="AQ58" s="288"/>
      <c r="AR58" s="288"/>
      <c r="AS58" s="288"/>
    </row>
    <row r="59" spans="3:45">
      <c r="C59" s="288"/>
      <c r="F59" s="288"/>
      <c r="I59" s="288"/>
      <c r="J59" s="288"/>
      <c r="L59" s="288"/>
      <c r="O59" s="288"/>
      <c r="P59" s="288"/>
      <c r="R59" s="288"/>
      <c r="U59" s="288"/>
      <c r="V59" s="288"/>
      <c r="X59" s="288"/>
      <c r="AA59" s="288"/>
      <c r="AB59" s="288"/>
      <c r="AD59" s="288"/>
      <c r="AG59" s="288"/>
      <c r="AH59" s="288"/>
      <c r="AJ59" s="288"/>
      <c r="AK59" s="288"/>
      <c r="AM59" s="288"/>
      <c r="AN59" s="288"/>
      <c r="AP59" s="288"/>
      <c r="AQ59" s="288"/>
      <c r="AR59" s="288"/>
      <c r="AS59" s="288"/>
    </row>
  </sheetData>
  <mergeCells count="7">
    <mergeCell ref="AL4:AN4"/>
    <mergeCell ref="B4:F4"/>
    <mergeCell ref="H4:L4"/>
    <mergeCell ref="N4:R4"/>
    <mergeCell ref="T4:X4"/>
    <mergeCell ref="Z4:AD4"/>
    <mergeCell ref="AF4:AJ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D3" sqref="D3"/>
    </sheetView>
  </sheetViews>
  <sheetFormatPr baseColWidth="10" defaultColWidth="10.83203125" defaultRowHeight="20" customHeight="1" x14ac:dyDescent="0"/>
  <cols>
    <col min="1" max="2" width="10.83203125" style="142"/>
    <col min="3" max="14" width="13.1640625" style="142" customWidth="1"/>
    <col min="15" max="15" width="11.5" style="142" bestFit="1" customWidth="1"/>
    <col min="16" max="17" width="10.83203125" style="142"/>
    <col min="18" max="18" width="12.6640625" style="142" bestFit="1" customWidth="1"/>
    <col min="19" max="16384" width="10.83203125" style="142"/>
  </cols>
  <sheetData>
    <row r="1" spans="1:16" ht="20" customHeight="1">
      <c r="C1" s="74" t="s">
        <v>83</v>
      </c>
      <c r="D1" s="74" t="s">
        <v>84</v>
      </c>
      <c r="E1" s="74" t="s">
        <v>85</v>
      </c>
      <c r="F1" s="74" t="s">
        <v>86</v>
      </c>
      <c r="G1" s="74" t="s">
        <v>87</v>
      </c>
      <c r="H1" s="74" t="s">
        <v>88</v>
      </c>
      <c r="I1" s="74" t="s">
        <v>89</v>
      </c>
      <c r="J1" s="74" t="s">
        <v>566</v>
      </c>
      <c r="K1" s="74" t="s">
        <v>567</v>
      </c>
      <c r="L1" s="74" t="s">
        <v>568</v>
      </c>
      <c r="M1" s="74" t="s">
        <v>569</v>
      </c>
      <c r="N1" s="74" t="s">
        <v>570</v>
      </c>
    </row>
    <row r="2" spans="1:16" ht="20" customHeight="1">
      <c r="A2" s="111" t="s">
        <v>21</v>
      </c>
      <c r="C2" s="73" t="s">
        <v>488</v>
      </c>
      <c r="D2" s="73" t="s">
        <v>488</v>
      </c>
      <c r="E2" s="73" t="s">
        <v>488</v>
      </c>
      <c r="F2" s="73" t="s">
        <v>488</v>
      </c>
      <c r="G2" s="73" t="s">
        <v>488</v>
      </c>
      <c r="H2" s="73" t="s">
        <v>489</v>
      </c>
      <c r="I2" s="73" t="s">
        <v>489</v>
      </c>
      <c r="J2" s="73" t="s">
        <v>489</v>
      </c>
      <c r="K2" s="73" t="s">
        <v>489</v>
      </c>
      <c r="L2" s="73" t="s">
        <v>489</v>
      </c>
      <c r="M2" s="73" t="s">
        <v>489</v>
      </c>
      <c r="N2" s="73" t="s">
        <v>489</v>
      </c>
    </row>
    <row r="3" spans="1:16" ht="20" customHeight="1">
      <c r="A3" s="142" t="s">
        <v>96</v>
      </c>
      <c r="C3" s="94">
        <v>2814</v>
      </c>
      <c r="D3" s="94">
        <v>2814</v>
      </c>
      <c r="E3" s="94">
        <v>2814</v>
      </c>
      <c r="F3" s="94">
        <v>2814</v>
      </c>
      <c r="G3" s="94">
        <v>2814</v>
      </c>
      <c r="H3" s="94">
        <v>3488</v>
      </c>
      <c r="I3" s="94">
        <v>3488</v>
      </c>
      <c r="J3" s="94">
        <f>3488*1.03</f>
        <v>3592.64</v>
      </c>
      <c r="K3" s="94">
        <f>3488*1.03</f>
        <v>3592.64</v>
      </c>
      <c r="L3" s="94">
        <f>3488*1.03</f>
        <v>3592.64</v>
      </c>
      <c r="M3" s="94">
        <f>3488*1.03</f>
        <v>3592.64</v>
      </c>
      <c r="N3" s="94">
        <f>3488*1.03</f>
        <v>3592.64</v>
      </c>
      <c r="O3" s="94"/>
      <c r="P3" s="142" t="s">
        <v>490</v>
      </c>
    </row>
    <row r="4" spans="1:16" ht="20" customHeight="1">
      <c r="A4" s="142" t="s">
        <v>97</v>
      </c>
      <c r="C4" s="94">
        <f>268-41</f>
        <v>227</v>
      </c>
      <c r="D4" s="94">
        <f>268-41</f>
        <v>227</v>
      </c>
      <c r="E4" s="94">
        <f>268-41</f>
        <v>227</v>
      </c>
      <c r="F4" s="94">
        <f>268-41</f>
        <v>227</v>
      </c>
      <c r="G4" s="94">
        <f>268-41</f>
        <v>227</v>
      </c>
      <c r="H4" s="94">
        <v>268</v>
      </c>
      <c r="I4" s="94">
        <v>268</v>
      </c>
      <c r="J4" s="94">
        <v>268</v>
      </c>
      <c r="K4" s="94">
        <v>268</v>
      </c>
      <c r="L4" s="94">
        <v>268</v>
      </c>
      <c r="M4" s="94">
        <v>268</v>
      </c>
      <c r="N4" s="94">
        <v>268</v>
      </c>
      <c r="O4" s="94"/>
      <c r="P4" s="142" t="s">
        <v>490</v>
      </c>
    </row>
    <row r="5" spans="1:16" ht="20" customHeight="1">
      <c r="A5" s="142" t="s">
        <v>98</v>
      </c>
      <c r="C5" s="94">
        <v>438</v>
      </c>
      <c r="D5" s="94">
        <v>438</v>
      </c>
      <c r="E5" s="94">
        <v>438</v>
      </c>
      <c r="F5" s="94">
        <v>438</v>
      </c>
      <c r="G5" s="94">
        <v>438</v>
      </c>
      <c r="H5" s="94">
        <v>482</v>
      </c>
      <c r="I5" s="94">
        <v>482</v>
      </c>
      <c r="J5" s="94">
        <v>482</v>
      </c>
      <c r="K5" s="94">
        <v>482</v>
      </c>
      <c r="L5" s="94">
        <v>482</v>
      </c>
      <c r="M5" s="94">
        <v>482</v>
      </c>
      <c r="N5" s="94">
        <v>482</v>
      </c>
      <c r="O5" s="94"/>
      <c r="P5" s="142" t="s">
        <v>490</v>
      </c>
    </row>
    <row r="6" spans="1:16" ht="20" customHeight="1"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6" ht="20" customHeight="1">
      <c r="C7" s="94">
        <f t="shared" ref="C7:H7" si="0">SUM(C3:C5)</f>
        <v>3479</v>
      </c>
      <c r="D7" s="94">
        <f t="shared" si="0"/>
        <v>3479</v>
      </c>
      <c r="E7" s="94">
        <f t="shared" si="0"/>
        <v>3479</v>
      </c>
      <c r="F7" s="94">
        <f t="shared" si="0"/>
        <v>3479</v>
      </c>
      <c r="G7" s="94">
        <f t="shared" si="0"/>
        <v>3479</v>
      </c>
      <c r="H7" s="94">
        <f t="shared" si="0"/>
        <v>4238</v>
      </c>
      <c r="I7" s="94">
        <f t="shared" ref="I7:N7" si="1">SUM(I3:I5)</f>
        <v>4238</v>
      </c>
      <c r="J7" s="94">
        <f t="shared" si="1"/>
        <v>4342.6399999999994</v>
      </c>
      <c r="K7" s="94">
        <f t="shared" si="1"/>
        <v>4342.6399999999994</v>
      </c>
      <c r="L7" s="94">
        <f t="shared" si="1"/>
        <v>4342.6399999999994</v>
      </c>
      <c r="M7" s="94">
        <f t="shared" si="1"/>
        <v>4342.6399999999994</v>
      </c>
      <c r="N7" s="94">
        <f t="shared" si="1"/>
        <v>4342.6399999999994</v>
      </c>
      <c r="O7" s="94">
        <f>SUM(C7:N7)</f>
        <v>47584.2</v>
      </c>
    </row>
    <row r="8" spans="1:16" ht="20" customHeight="1"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6" s="145" customFormat="1" ht="20" customHeight="1">
      <c r="A9" s="144" t="s">
        <v>550</v>
      </c>
    </row>
    <row r="10" spans="1:16" ht="20" customHeight="1">
      <c r="A10" s="109"/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</row>
    <row r="11" spans="1:16" ht="20" customHeight="1">
      <c r="A11" s="109" t="s">
        <v>551</v>
      </c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</row>
    <row r="12" spans="1:16" ht="20" customHeight="1">
      <c r="A12" s="109" t="s">
        <v>552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/>
    </row>
    <row r="13" spans="1:16" ht="20" customHeight="1">
      <c r="A13" s="109"/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</row>
    <row r="14" spans="1:16" ht="20" customHeight="1">
      <c r="A14" s="109" t="s">
        <v>553</v>
      </c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</row>
    <row r="15" spans="1:16" ht="20" customHeight="1">
      <c r="A15" s="109"/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</row>
    <row r="16" spans="1:16" ht="20" customHeight="1">
      <c r="A16" s="149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</row>
    <row r="17" spans="1:17" ht="20" customHeight="1">
      <c r="A17" s="149"/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</row>
    <row r="20" spans="1:17" s="146" customFormat="1" ht="20" customHeight="1"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1:17" s="146" customFormat="1" ht="20" customHeight="1"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Q21" s="148"/>
    </row>
    <row r="22" spans="1:17" s="146" customFormat="1" ht="20" customHeight="1">
      <c r="C22" s="147"/>
      <c r="D22" s="147"/>
      <c r="E22" s="147"/>
      <c r="F22" s="147"/>
      <c r="G22" s="148"/>
      <c r="H22" s="148"/>
      <c r="I22" s="148"/>
      <c r="J22" s="148"/>
      <c r="K22" s="148"/>
      <c r="L22" s="148"/>
      <c r="M22" s="148"/>
      <c r="N22" s="148"/>
      <c r="O22" s="148"/>
      <c r="Q22" s="148"/>
    </row>
    <row r="23" spans="1:17" s="146" customFormat="1" ht="20" customHeight="1"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Q23" s="148"/>
    </row>
    <row r="25" spans="1:17" ht="20" customHeight="1">
      <c r="O25" s="150"/>
    </row>
    <row r="26" spans="1:17" ht="20" customHeight="1"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8" spans="1:17" s="145" customFormat="1" ht="20" customHeight="1"/>
    <row r="29" spans="1:17" ht="20" customHeight="1">
      <c r="A29" s="146"/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</row>
    <row r="30" spans="1:17" ht="20" customHeight="1">
      <c r="A30" s="146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8"/>
    </row>
    <row r="31" spans="1:17" ht="20" customHeight="1">
      <c r="A31" s="146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1:17" ht="20" customHeight="1">
      <c r="A32" s="149"/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8"/>
    </row>
    <row r="33" spans="1:15" ht="20" customHeight="1">
      <c r="A33" s="149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8"/>
    </row>
    <row r="34" spans="1:15" ht="20" customHeight="1">
      <c r="A34" s="149"/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8"/>
    </row>
    <row r="35" spans="1:15" ht="20" customHeight="1">
      <c r="A35" s="149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8"/>
    </row>
    <row r="36" spans="1:15" ht="20" customHeight="1">
      <c r="A36" s="149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8"/>
    </row>
    <row r="38" spans="1:15" ht="20" customHeight="1">
      <c r="A38" s="146"/>
      <c r="B38" s="146"/>
      <c r="C38" s="148"/>
      <c r="D38" s="148"/>
      <c r="E38" s="148"/>
      <c r="F38" s="148"/>
      <c r="O38" s="148"/>
    </row>
    <row r="39" spans="1:15" ht="20" customHeight="1">
      <c r="A39" s="146"/>
      <c r="B39" s="146"/>
      <c r="C39" s="148"/>
      <c r="D39" s="148"/>
      <c r="E39" s="148"/>
      <c r="F39" s="148"/>
      <c r="O39" s="148"/>
    </row>
    <row r="40" spans="1:15" ht="20" customHeight="1">
      <c r="A40" s="146"/>
      <c r="B40" s="146"/>
      <c r="C40" s="148"/>
      <c r="D40" s="148"/>
      <c r="E40" s="148"/>
      <c r="F40" s="148"/>
      <c r="O40" s="148"/>
    </row>
    <row r="41" spans="1:15" ht="20" customHeight="1">
      <c r="A41" s="146"/>
      <c r="B41" s="146"/>
      <c r="C41" s="148"/>
      <c r="D41" s="148"/>
      <c r="E41" s="148"/>
      <c r="F41" s="148"/>
      <c r="O41" s="148"/>
    </row>
    <row r="42" spans="1:15" ht="20" customHeight="1">
      <c r="A42" s="146"/>
      <c r="B42" s="146"/>
      <c r="C42" s="148"/>
      <c r="D42" s="148"/>
      <c r="E42" s="148"/>
      <c r="F42" s="148"/>
      <c r="O42" s="148"/>
    </row>
    <row r="43" spans="1:15" ht="20" customHeight="1">
      <c r="A43" s="146"/>
      <c r="B43" s="146"/>
      <c r="C43" s="148"/>
      <c r="D43" s="148"/>
      <c r="E43" s="148"/>
      <c r="F43" s="148"/>
      <c r="O43" s="148"/>
    </row>
    <row r="45" spans="1:15" ht="20" customHeight="1">
      <c r="A45" s="146"/>
      <c r="B45" s="146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  <row r="46" spans="1:15" ht="20" customHeight="1">
      <c r="A46" s="146"/>
      <c r="B46" s="146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</row>
    <row r="47" spans="1:15" ht="20" customHeight="1">
      <c r="A47" s="146"/>
      <c r="B47" s="146"/>
      <c r="C47" s="147"/>
      <c r="D47" s="147"/>
      <c r="E47" s="147"/>
      <c r="F47" s="147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1:15" ht="20" customHeight="1">
      <c r="A48" s="146"/>
      <c r="B48" s="146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50" spans="1:15" ht="20" customHeight="1">
      <c r="O50" s="150"/>
    </row>
    <row r="51" spans="1:15" ht="20" customHeight="1"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</row>
    <row r="53" spans="1:15" s="145" customFormat="1" ht="20" customHeight="1"/>
    <row r="54" spans="1:15" ht="20" customHeight="1">
      <c r="A54" s="146"/>
      <c r="B54" s="146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8"/>
    </row>
    <row r="55" spans="1:15" ht="20" customHeight="1">
      <c r="A55" s="146"/>
      <c r="B55" s="146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8"/>
    </row>
    <row r="56" spans="1:15" ht="20" customHeight="1">
      <c r="A56" s="146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8"/>
    </row>
    <row r="57" spans="1:15" ht="20" customHeight="1">
      <c r="A57" s="149"/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8"/>
    </row>
    <row r="58" spans="1:15" ht="20" customHeight="1">
      <c r="A58" s="149"/>
      <c r="B58" s="146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8"/>
    </row>
    <row r="59" spans="1:15" ht="20" customHeight="1">
      <c r="A59" s="149"/>
      <c r="B59" s="146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8"/>
    </row>
    <row r="60" spans="1:15" ht="20" customHeight="1">
      <c r="A60" s="149"/>
      <c r="B60" s="146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8"/>
    </row>
    <row r="61" spans="1:15" ht="20" customHeight="1">
      <c r="A61" s="149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8"/>
    </row>
    <row r="64" spans="1:15" ht="20" customHeight="1">
      <c r="A64" s="146"/>
      <c r="B64" s="146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48"/>
    </row>
    <row r="65" spans="1:15" ht="20" customHeight="1">
      <c r="A65" s="146"/>
      <c r="B65" s="146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8"/>
    </row>
    <row r="66" spans="1:15" ht="20" customHeight="1">
      <c r="A66" s="146"/>
      <c r="B66" s="146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8"/>
    </row>
    <row r="67" spans="1:15" ht="20" customHeight="1">
      <c r="A67" s="146"/>
      <c r="B67" s="146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</row>
    <row r="69" spans="1:15" ht="20" customHeight="1">
      <c r="O69" s="150"/>
    </row>
    <row r="70" spans="1:15" ht="20" customHeight="1"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27" workbookViewId="0">
      <selection activeCell="B54" sqref="B54"/>
    </sheetView>
  </sheetViews>
  <sheetFormatPr baseColWidth="10" defaultColWidth="11" defaultRowHeight="20" customHeight="1" x14ac:dyDescent="0"/>
  <cols>
    <col min="1" max="1" width="11" style="91"/>
    <col min="2" max="2" width="2.83203125" style="111" customWidth="1"/>
    <col min="3" max="3" width="22.1640625" style="91" customWidth="1"/>
    <col min="4" max="4" width="11.5" style="94" bestFit="1" customWidth="1"/>
    <col min="5" max="5" width="11" style="111"/>
    <col min="6" max="8" width="11" style="91"/>
    <col min="9" max="9" width="20.5" style="91" customWidth="1"/>
    <col min="10" max="10" width="11" style="91"/>
    <col min="11" max="11" width="14.83203125" style="91" customWidth="1"/>
    <col min="12" max="12" width="11" style="91"/>
    <col min="13" max="16" width="11" style="91" bestFit="1" customWidth="1"/>
    <col min="17" max="17" width="18.83203125" style="91" customWidth="1"/>
    <col min="18" max="16384" width="11" style="91"/>
  </cols>
  <sheetData>
    <row r="1" spans="1:17" ht="20" customHeight="1" thickBot="1">
      <c r="A1" s="111" t="s">
        <v>67</v>
      </c>
    </row>
    <row r="2" spans="1:17" ht="20" customHeight="1">
      <c r="J2" s="112" t="s">
        <v>520</v>
      </c>
      <c r="K2" s="113"/>
      <c r="L2" s="75" t="s">
        <v>122</v>
      </c>
      <c r="M2" s="75" t="s">
        <v>499</v>
      </c>
      <c r="N2" s="75" t="s">
        <v>55</v>
      </c>
      <c r="O2" s="75" t="s">
        <v>500</v>
      </c>
      <c r="P2" s="75" t="s">
        <v>56</v>
      </c>
      <c r="Q2" s="114"/>
    </row>
    <row r="3" spans="1:17" ht="20" customHeight="1">
      <c r="J3" s="115"/>
      <c r="K3" s="116" t="s">
        <v>504</v>
      </c>
      <c r="L3" s="117">
        <v>8033</v>
      </c>
      <c r="M3" s="118"/>
      <c r="N3" s="118"/>
      <c r="O3" s="118"/>
      <c r="P3" s="118"/>
      <c r="Q3" s="119"/>
    </row>
    <row r="4" spans="1:17" ht="20" customHeight="1">
      <c r="B4" s="120" t="s">
        <v>25</v>
      </c>
      <c r="E4" s="121">
        <f>SUM(D5:D8)</f>
        <v>52192</v>
      </c>
      <c r="J4" s="115"/>
      <c r="K4" s="122" t="s">
        <v>524</v>
      </c>
      <c r="L4" s="122"/>
      <c r="M4" s="117"/>
      <c r="N4" s="117"/>
      <c r="O4" s="117"/>
      <c r="P4" s="117">
        <v>15000</v>
      </c>
      <c r="Q4" s="123"/>
    </row>
    <row r="5" spans="1:17" ht="20" customHeight="1">
      <c r="B5" s="120"/>
      <c r="C5" s="91" t="s">
        <v>63</v>
      </c>
      <c r="D5" s="94">
        <f>Q16</f>
        <v>48197</v>
      </c>
      <c r="E5" s="124" t="s">
        <v>513</v>
      </c>
      <c r="J5" s="115"/>
      <c r="K5" s="122" t="s">
        <v>523</v>
      </c>
      <c r="L5" s="122"/>
      <c r="M5" s="117">
        <v>4600</v>
      </c>
      <c r="N5" s="117">
        <v>4600</v>
      </c>
      <c r="O5" s="117">
        <v>4600</v>
      </c>
      <c r="P5" s="117"/>
      <c r="Q5" s="123"/>
    </row>
    <row r="6" spans="1:17" ht="20" customHeight="1">
      <c r="B6" s="120"/>
      <c r="C6" s="91" t="s">
        <v>64</v>
      </c>
      <c r="D6" s="94">
        <f>650+3225</f>
        <v>3875</v>
      </c>
      <c r="E6" s="124" t="s">
        <v>583</v>
      </c>
      <c r="J6" s="115"/>
      <c r="K6" s="122" t="s">
        <v>78</v>
      </c>
      <c r="L6" s="122"/>
      <c r="M6" s="125">
        <v>500</v>
      </c>
      <c r="N6" s="125">
        <v>500</v>
      </c>
      <c r="O6" s="125">
        <v>500</v>
      </c>
      <c r="P6" s="125"/>
      <c r="Q6" s="123"/>
    </row>
    <row r="7" spans="1:17" ht="20" customHeight="1">
      <c r="B7" s="120"/>
      <c r="C7" s="91" t="s">
        <v>65</v>
      </c>
      <c r="D7" s="94">
        <v>120</v>
      </c>
      <c r="E7" s="124" t="s">
        <v>76</v>
      </c>
      <c r="J7" s="115"/>
      <c r="K7" s="122" t="s">
        <v>79</v>
      </c>
      <c r="L7" s="122"/>
      <c r="M7" s="125"/>
      <c r="N7" s="125">
        <v>714</v>
      </c>
      <c r="O7" s="125"/>
      <c r="P7" s="125"/>
      <c r="Q7" s="123"/>
    </row>
    <row r="8" spans="1:17" ht="20" customHeight="1">
      <c r="B8" s="120"/>
      <c r="C8" s="91" t="s">
        <v>66</v>
      </c>
      <c r="D8" s="94">
        <v>0</v>
      </c>
      <c r="E8" s="124" t="s">
        <v>68</v>
      </c>
      <c r="J8" s="115"/>
      <c r="K8" s="122" t="s">
        <v>80</v>
      </c>
      <c r="L8" s="122"/>
      <c r="M8" s="125">
        <v>1500</v>
      </c>
      <c r="N8" s="125">
        <v>1500</v>
      </c>
      <c r="O8" s="125">
        <v>1500</v>
      </c>
      <c r="P8" s="125"/>
      <c r="Q8" s="123"/>
    </row>
    <row r="9" spans="1:17" ht="21" customHeight="1">
      <c r="B9" s="120"/>
      <c r="J9" s="115"/>
      <c r="K9" s="122" t="s">
        <v>402</v>
      </c>
      <c r="L9" s="122"/>
      <c r="M9" s="125">
        <v>700</v>
      </c>
      <c r="N9" s="125">
        <v>700</v>
      </c>
      <c r="O9" s="125"/>
      <c r="P9" s="125"/>
      <c r="Q9" s="123"/>
    </row>
    <row r="10" spans="1:17" ht="20" customHeight="1">
      <c r="B10" s="120" t="s">
        <v>54</v>
      </c>
      <c r="E10" s="126">
        <v>0</v>
      </c>
      <c r="J10" s="115"/>
      <c r="K10" s="118" t="s">
        <v>376</v>
      </c>
      <c r="L10" s="122"/>
      <c r="M10" s="125"/>
      <c r="N10" s="125"/>
      <c r="O10" s="125">
        <v>400</v>
      </c>
      <c r="P10" s="125"/>
      <c r="Q10" s="123"/>
    </row>
    <row r="11" spans="1:17" ht="20" customHeight="1">
      <c r="B11" s="120"/>
      <c r="E11" s="126"/>
      <c r="J11" s="115"/>
      <c r="K11" s="285" t="s">
        <v>586</v>
      </c>
      <c r="L11" s="122"/>
      <c r="M11" s="125"/>
      <c r="N11" s="125">
        <v>600</v>
      </c>
      <c r="O11" s="125"/>
      <c r="P11" s="125"/>
      <c r="Q11" s="123"/>
    </row>
    <row r="12" spans="1:17" ht="20" customHeight="1">
      <c r="B12" s="120" t="s">
        <v>26</v>
      </c>
      <c r="E12" s="126">
        <f>Budget!H34</f>
        <v>46536.000000000007</v>
      </c>
      <c r="J12" s="115"/>
      <c r="K12" s="122" t="s">
        <v>81</v>
      </c>
      <c r="L12" s="122"/>
      <c r="M12" s="125"/>
      <c r="N12" s="125">
        <v>900</v>
      </c>
      <c r="O12" s="125"/>
      <c r="P12" s="125"/>
      <c r="Q12" s="123"/>
    </row>
    <row r="13" spans="1:17" ht="20" customHeight="1">
      <c r="J13" s="115"/>
      <c r="K13" s="122" t="s">
        <v>82</v>
      </c>
      <c r="L13" s="122"/>
      <c r="M13" s="125">
        <v>450</v>
      </c>
      <c r="N13" s="125">
        <v>450</v>
      </c>
      <c r="O13" s="125">
        <v>450</v>
      </c>
      <c r="P13" s="125"/>
      <c r="Q13" s="123"/>
    </row>
    <row r="14" spans="1:17" ht="20" customHeight="1">
      <c r="B14" s="120" t="s">
        <v>27</v>
      </c>
      <c r="E14" s="124" t="s">
        <v>521</v>
      </c>
      <c r="J14" s="127"/>
      <c r="K14" s="122"/>
      <c r="L14" s="122"/>
      <c r="M14" s="125"/>
      <c r="N14" s="125"/>
      <c r="O14" s="125"/>
      <c r="P14" s="125"/>
      <c r="Q14" s="123"/>
    </row>
    <row r="15" spans="1:17" ht="20" customHeight="1">
      <c r="J15" s="127"/>
      <c r="K15" s="122"/>
      <c r="L15" s="125">
        <f>SUM(L3:L13)</f>
        <v>8033</v>
      </c>
      <c r="M15" s="125">
        <f>SUM(M4:M13)</f>
        <v>7750</v>
      </c>
      <c r="N15" s="125">
        <f>SUM(N4:N13)</f>
        <v>9964</v>
      </c>
      <c r="O15" s="125">
        <f>SUM(O4:O13)</f>
        <v>7450</v>
      </c>
      <c r="P15" s="125">
        <f>SUM(P4:P13)</f>
        <v>15000</v>
      </c>
      <c r="Q15" s="123"/>
    </row>
    <row r="16" spans="1:17" ht="20" customHeight="1">
      <c r="B16" s="120" t="s">
        <v>28</v>
      </c>
      <c r="E16" s="126">
        <f>Budget!H36</f>
        <v>3500</v>
      </c>
      <c r="J16" s="128"/>
      <c r="K16" s="129"/>
      <c r="L16" s="129"/>
      <c r="M16" s="130"/>
      <c r="N16" s="130"/>
      <c r="O16" s="130"/>
      <c r="P16" s="130"/>
      <c r="Q16" s="131">
        <f>SUM(L15:P15)</f>
        <v>48197</v>
      </c>
    </row>
    <row r="17" spans="2:17" ht="20" customHeight="1">
      <c r="J17" s="127"/>
      <c r="K17" s="122"/>
      <c r="L17" s="122"/>
      <c r="M17" s="122"/>
      <c r="N17" s="122"/>
      <c r="O17" s="122"/>
      <c r="P17" s="122"/>
      <c r="Q17" s="119"/>
    </row>
    <row r="18" spans="2:17" ht="20" customHeight="1">
      <c r="B18" s="120" t="s">
        <v>29</v>
      </c>
      <c r="E18" s="126">
        <f>SUM(D19:D28)</f>
        <v>40360</v>
      </c>
      <c r="J18" s="127" t="s">
        <v>494</v>
      </c>
      <c r="K18" s="122"/>
      <c r="L18" s="122"/>
      <c r="M18" s="122" t="s">
        <v>501</v>
      </c>
      <c r="N18" s="122"/>
      <c r="O18" s="122"/>
      <c r="P18" s="122" t="s">
        <v>503</v>
      </c>
      <c r="Q18" s="119"/>
    </row>
    <row r="19" spans="2:17" ht="20" customHeight="1">
      <c r="B19" s="120"/>
      <c r="C19" s="133" t="s">
        <v>69</v>
      </c>
      <c r="D19" s="94">
        <v>0</v>
      </c>
      <c r="E19" s="124"/>
      <c r="J19" s="132">
        <v>2500</v>
      </c>
      <c r="K19" s="122" t="s">
        <v>505</v>
      </c>
      <c r="L19" s="122"/>
      <c r="M19" s="125">
        <v>6500</v>
      </c>
      <c r="N19" s="122" t="s">
        <v>495</v>
      </c>
      <c r="O19" s="122"/>
      <c r="P19" s="125">
        <v>1900</v>
      </c>
      <c r="Q19" s="119" t="s">
        <v>495</v>
      </c>
    </row>
    <row r="20" spans="2:17" ht="20" customHeight="1">
      <c r="B20" s="120"/>
      <c r="C20" s="134" t="s">
        <v>70</v>
      </c>
      <c r="D20" s="94">
        <v>1000</v>
      </c>
      <c r="E20" s="124" t="s">
        <v>581</v>
      </c>
      <c r="J20" s="132">
        <v>975</v>
      </c>
      <c r="K20" s="122" t="s">
        <v>507</v>
      </c>
      <c r="L20" s="122"/>
      <c r="M20" s="125">
        <v>2580</v>
      </c>
      <c r="N20" s="122" t="s">
        <v>525</v>
      </c>
      <c r="O20" s="122"/>
      <c r="P20" s="125">
        <v>500</v>
      </c>
      <c r="Q20" s="119" t="s">
        <v>496</v>
      </c>
    </row>
    <row r="21" spans="2:17" ht="20" customHeight="1">
      <c r="B21" s="120"/>
      <c r="C21" s="134" t="s">
        <v>71</v>
      </c>
      <c r="D21" s="94">
        <v>0</v>
      </c>
      <c r="E21" s="124"/>
      <c r="G21" s="124" t="s">
        <v>582</v>
      </c>
      <c r="J21" s="132">
        <v>4208</v>
      </c>
      <c r="K21" s="122" t="s">
        <v>506</v>
      </c>
      <c r="L21" s="122"/>
      <c r="M21" s="125">
        <v>4920</v>
      </c>
      <c r="N21" s="122" t="s">
        <v>497</v>
      </c>
      <c r="O21" s="122"/>
      <c r="P21" s="125">
        <v>700</v>
      </c>
      <c r="Q21" s="119" t="s">
        <v>497</v>
      </c>
    </row>
    <row r="22" spans="2:17" ht="20" customHeight="1">
      <c r="B22" s="120"/>
      <c r="C22" s="134" t="s">
        <v>72</v>
      </c>
      <c r="D22" s="94">
        <v>6750</v>
      </c>
      <c r="E22" s="124" t="s">
        <v>509</v>
      </c>
      <c r="J22" s="132">
        <v>350</v>
      </c>
      <c r="K22" s="122" t="s">
        <v>508</v>
      </c>
      <c r="L22" s="122"/>
      <c r="M22" s="125">
        <v>500</v>
      </c>
      <c r="N22" s="122" t="s">
        <v>526</v>
      </c>
      <c r="O22" s="122"/>
      <c r="P22" s="125">
        <v>1500</v>
      </c>
      <c r="Q22" s="119" t="s">
        <v>498</v>
      </c>
    </row>
    <row r="23" spans="2:17" ht="20" customHeight="1">
      <c r="B23" s="120"/>
      <c r="C23" s="134" t="s">
        <v>73</v>
      </c>
      <c r="D23" s="94">
        <v>2410</v>
      </c>
      <c r="E23" s="124" t="s">
        <v>510</v>
      </c>
      <c r="J23" s="127"/>
      <c r="L23" s="122"/>
      <c r="M23" s="125">
        <v>250</v>
      </c>
      <c r="N23" s="118" t="s">
        <v>527</v>
      </c>
      <c r="O23" s="122"/>
      <c r="P23" s="122"/>
      <c r="Q23" s="119"/>
    </row>
    <row r="24" spans="2:17" ht="20" customHeight="1" thickBot="1">
      <c r="B24" s="120"/>
      <c r="C24" s="133" t="s">
        <v>74</v>
      </c>
      <c r="D24" s="94">
        <v>2750</v>
      </c>
      <c r="E24" s="124" t="s">
        <v>514</v>
      </c>
      <c r="J24" s="135"/>
      <c r="K24" s="136"/>
      <c r="L24" s="137"/>
      <c r="M24" s="138">
        <v>250</v>
      </c>
      <c r="N24" s="139" t="s">
        <v>528</v>
      </c>
      <c r="O24" s="137"/>
      <c r="P24" s="137"/>
      <c r="Q24" s="140"/>
    </row>
    <row r="25" spans="2:17" ht="20" customHeight="1">
      <c r="B25" s="120"/>
      <c r="C25" s="134" t="s">
        <v>75</v>
      </c>
      <c r="D25" s="94">
        <v>2250</v>
      </c>
      <c r="E25" s="124" t="s">
        <v>591</v>
      </c>
    </row>
    <row r="26" spans="2:17" ht="20" customHeight="1">
      <c r="B26" s="120"/>
      <c r="C26" s="141" t="s">
        <v>511</v>
      </c>
      <c r="D26" s="94">
        <v>0</v>
      </c>
      <c r="E26" s="124" t="s">
        <v>549</v>
      </c>
      <c r="J26" s="124"/>
    </row>
    <row r="27" spans="2:17" ht="20" customHeight="1">
      <c r="B27" s="120"/>
      <c r="C27" s="141" t="s">
        <v>123</v>
      </c>
      <c r="D27" s="94">
        <v>200</v>
      </c>
      <c r="E27" s="124" t="s">
        <v>502</v>
      </c>
    </row>
    <row r="28" spans="2:17" ht="20" customHeight="1">
      <c r="B28" s="120"/>
      <c r="C28" s="141" t="s">
        <v>512</v>
      </c>
      <c r="D28" s="94">
        <v>25000</v>
      </c>
      <c r="E28" s="142"/>
    </row>
    <row r="29" spans="2:17" ht="20" customHeight="1">
      <c r="B29" s="120"/>
      <c r="E29" s="142"/>
    </row>
    <row r="30" spans="2:17" ht="20" customHeight="1">
      <c r="B30" s="120" t="s">
        <v>30</v>
      </c>
      <c r="E30" s="121">
        <f>SUM(D31:D33)</f>
        <v>4700</v>
      </c>
    </row>
    <row r="31" spans="2:17" ht="20" customHeight="1">
      <c r="C31" s="141" t="s">
        <v>516</v>
      </c>
      <c r="D31" s="94">
        <v>0</v>
      </c>
    </row>
    <row r="32" spans="2:17" ht="20" customHeight="1">
      <c r="C32" s="141" t="s">
        <v>517</v>
      </c>
      <c r="D32" s="94">
        <v>4700</v>
      </c>
      <c r="E32" s="124" t="s">
        <v>518</v>
      </c>
    </row>
    <row r="33" spans="2:5" ht="20" customHeight="1">
      <c r="C33" s="141" t="s">
        <v>519</v>
      </c>
      <c r="D33" s="94">
        <v>0</v>
      </c>
    </row>
    <row r="34" spans="2:5" ht="20" customHeight="1">
      <c r="C34" s="141"/>
    </row>
    <row r="35" spans="2:5" ht="20" customHeight="1">
      <c r="B35" s="120" t="s">
        <v>31</v>
      </c>
      <c r="D35" s="94">
        <v>0</v>
      </c>
      <c r="E35" s="124" t="s">
        <v>515</v>
      </c>
    </row>
    <row r="37" spans="2:5" ht="20" customHeight="1">
      <c r="B37" s="120" t="s">
        <v>5</v>
      </c>
      <c r="E37" s="121">
        <f>SUM(D38:D48)</f>
        <v>20999</v>
      </c>
    </row>
    <row r="38" spans="2:5" ht="20" customHeight="1">
      <c r="C38" s="91" t="s">
        <v>538</v>
      </c>
      <c r="D38" s="94">
        <v>12000</v>
      </c>
      <c r="E38" s="124" t="s">
        <v>547</v>
      </c>
    </row>
    <row r="39" spans="2:5" ht="20" customHeight="1">
      <c r="C39" s="91" t="s">
        <v>539</v>
      </c>
      <c r="D39" s="94">
        <v>99</v>
      </c>
      <c r="E39" s="124" t="s">
        <v>540</v>
      </c>
    </row>
    <row r="40" spans="2:5" ht="20" customHeight="1">
      <c r="C40" s="91" t="s">
        <v>541</v>
      </c>
      <c r="D40" s="94">
        <v>1000</v>
      </c>
      <c r="E40" s="124" t="s">
        <v>547</v>
      </c>
    </row>
    <row r="41" spans="2:5" ht="20" customHeight="1">
      <c r="C41" s="91" t="s">
        <v>542</v>
      </c>
      <c r="D41" s="94">
        <v>2000</v>
      </c>
      <c r="E41" s="124"/>
    </row>
    <row r="42" spans="2:5" ht="20" customHeight="1">
      <c r="C42" s="91" t="s">
        <v>7</v>
      </c>
      <c r="D42" s="94">
        <v>0</v>
      </c>
      <c r="E42" s="124"/>
    </row>
    <row r="43" spans="2:5" ht="20" customHeight="1">
      <c r="C43" s="91" t="s">
        <v>543</v>
      </c>
      <c r="D43" s="94">
        <v>650</v>
      </c>
      <c r="E43" s="124" t="s">
        <v>547</v>
      </c>
    </row>
    <row r="44" spans="2:5" ht="20" customHeight="1">
      <c r="C44" s="91" t="s">
        <v>446</v>
      </c>
      <c r="D44" s="94">
        <v>0</v>
      </c>
      <c r="E44" s="124"/>
    </row>
    <row r="45" spans="2:5" ht="20" customHeight="1">
      <c r="C45" s="91" t="s">
        <v>544</v>
      </c>
      <c r="D45" s="94">
        <v>300</v>
      </c>
      <c r="E45" s="124"/>
    </row>
    <row r="46" spans="2:5" ht="20" customHeight="1">
      <c r="C46" s="91" t="s">
        <v>545</v>
      </c>
      <c r="D46" s="94">
        <v>3400</v>
      </c>
      <c r="E46" s="124"/>
    </row>
    <row r="47" spans="2:5" ht="20" customHeight="1">
      <c r="C47" s="91" t="s">
        <v>546</v>
      </c>
      <c r="D47" s="94">
        <v>1400</v>
      </c>
      <c r="E47" s="124"/>
    </row>
    <row r="48" spans="2:5" ht="20" customHeight="1">
      <c r="C48" s="91" t="s">
        <v>454</v>
      </c>
      <c r="D48" s="94">
        <v>150</v>
      </c>
      <c r="E48" s="124"/>
    </row>
    <row r="50" spans="2:6" ht="20" customHeight="1">
      <c r="B50" s="120" t="s">
        <v>32</v>
      </c>
      <c r="E50" s="121">
        <f>SUM(D51:D59)</f>
        <v>27683</v>
      </c>
    </row>
    <row r="51" spans="2:6" ht="20" customHeight="1">
      <c r="C51" s="141" t="s">
        <v>58</v>
      </c>
      <c r="D51" s="94">
        <v>2513</v>
      </c>
    </row>
    <row r="52" spans="2:6" ht="20" customHeight="1">
      <c r="C52" s="141" t="s">
        <v>59</v>
      </c>
      <c r="D52" s="94">
        <v>1200</v>
      </c>
    </row>
    <row r="53" spans="2:6" ht="20" customHeight="1">
      <c r="C53" s="143" t="s">
        <v>60</v>
      </c>
      <c r="D53" s="94">
        <v>500</v>
      </c>
    </row>
    <row r="54" spans="2:6" ht="20" customHeight="1">
      <c r="C54" s="143" t="s">
        <v>61</v>
      </c>
      <c r="D54" s="94">
        <v>20000</v>
      </c>
    </row>
    <row r="55" spans="2:6" ht="20" customHeight="1">
      <c r="C55" s="143" t="s">
        <v>458</v>
      </c>
      <c r="D55" s="94">
        <v>2700</v>
      </c>
    </row>
    <row r="56" spans="2:6" ht="20" customHeight="1">
      <c r="C56" s="134" t="s">
        <v>62</v>
      </c>
      <c r="D56" s="94">
        <v>400</v>
      </c>
    </row>
    <row r="57" spans="2:6" ht="20" customHeight="1">
      <c r="C57" s="134" t="s">
        <v>7</v>
      </c>
      <c r="D57" s="94">
        <v>200</v>
      </c>
    </row>
    <row r="58" spans="2:6" ht="20" customHeight="1">
      <c r="C58" s="134" t="s">
        <v>563</v>
      </c>
      <c r="D58" s="94">
        <v>170</v>
      </c>
    </row>
    <row r="59" spans="2:6" ht="20" customHeight="1">
      <c r="C59" s="134" t="s">
        <v>562</v>
      </c>
      <c r="D59" s="94">
        <v>0</v>
      </c>
      <c r="F59" s="124" t="s">
        <v>590</v>
      </c>
    </row>
    <row r="66" spans="1:1" ht="20" customHeight="1">
      <c r="A66" s="109"/>
    </row>
    <row r="67" spans="1:1" ht="20" customHeight="1">
      <c r="A67" s="109"/>
    </row>
    <row r="68" spans="1:1" ht="20" customHeight="1">
      <c r="A68" s="109"/>
    </row>
    <row r="69" spans="1:1" ht="20" customHeight="1">
      <c r="A69" s="109"/>
    </row>
    <row r="70" spans="1:1" ht="20" customHeight="1">
      <c r="A70" s="10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D9" sqref="D9"/>
    </sheetView>
  </sheetViews>
  <sheetFormatPr baseColWidth="10" defaultColWidth="11" defaultRowHeight="17" customHeight="1" x14ac:dyDescent="0"/>
  <cols>
    <col min="1" max="1" width="11" style="91"/>
    <col min="2" max="2" width="4.1640625" style="91" customWidth="1"/>
    <col min="3" max="3" width="20.5" style="91" customWidth="1"/>
    <col min="4" max="5" width="11.5" style="94" bestFit="1" customWidth="1"/>
    <col min="6" max="7" width="11" style="91"/>
    <col min="8" max="8" width="13" style="91" customWidth="1"/>
    <col min="9" max="9" width="2.33203125" style="91" customWidth="1"/>
    <col min="10" max="10" width="17.83203125" style="91" customWidth="1"/>
    <col min="11" max="16384" width="11" style="91"/>
  </cols>
  <sheetData>
    <row r="1" spans="1:5" ht="17" customHeight="1">
      <c r="A1" s="120" t="s">
        <v>44</v>
      </c>
      <c r="B1" s="120"/>
    </row>
    <row r="2" spans="1:5" ht="17" customHeight="1">
      <c r="A2" s="158"/>
      <c r="B2" s="158" t="s">
        <v>45</v>
      </c>
      <c r="E2" s="126">
        <f>SUM(D3:D8)</f>
        <v>30508</v>
      </c>
    </row>
    <row r="3" spans="1:5" ht="17" customHeight="1">
      <c r="A3" s="158"/>
      <c r="B3" s="158"/>
      <c r="C3" s="91" t="s">
        <v>102</v>
      </c>
      <c r="D3" s="94">
        <v>180</v>
      </c>
      <c r="E3" s="175" t="s">
        <v>548</v>
      </c>
    </row>
    <row r="4" spans="1:5" ht="17" customHeight="1">
      <c r="A4" s="158"/>
      <c r="B4" s="158"/>
      <c r="C4" s="91" t="s">
        <v>103</v>
      </c>
      <c r="D4" s="94">
        <v>1800</v>
      </c>
      <c r="E4" s="175" t="s">
        <v>522</v>
      </c>
    </row>
    <row r="5" spans="1:5" ht="17" customHeight="1">
      <c r="A5" s="158"/>
      <c r="B5" s="158"/>
      <c r="C5" s="91" t="s">
        <v>106</v>
      </c>
      <c r="D5" s="94">
        <v>6168</v>
      </c>
      <c r="E5" s="175" t="s">
        <v>486</v>
      </c>
    </row>
    <row r="6" spans="1:5" ht="17" customHeight="1">
      <c r="A6" s="158"/>
      <c r="B6" s="158"/>
      <c r="C6" s="91" t="s">
        <v>107</v>
      </c>
      <c r="D6" s="94">
        <v>11000</v>
      </c>
      <c r="E6" s="175" t="s">
        <v>588</v>
      </c>
    </row>
    <row r="7" spans="1:5" ht="17" customHeight="1">
      <c r="A7" s="158"/>
      <c r="B7" s="158"/>
      <c r="C7" s="91" t="s">
        <v>104</v>
      </c>
      <c r="D7" s="94">
        <v>2520</v>
      </c>
      <c r="E7" s="175" t="s">
        <v>537</v>
      </c>
    </row>
    <row r="8" spans="1:5" ht="17" customHeight="1">
      <c r="A8" s="158"/>
      <c r="B8" s="158"/>
      <c r="C8" s="91" t="s">
        <v>105</v>
      </c>
      <c r="D8" s="94">
        <v>8840</v>
      </c>
      <c r="E8" s="175" t="s">
        <v>587</v>
      </c>
    </row>
    <row r="9" spans="1:5" ht="17" customHeight="1">
      <c r="A9" s="158"/>
      <c r="B9" s="158"/>
      <c r="E9" s="175" t="s">
        <v>536</v>
      </c>
    </row>
    <row r="10" spans="1:5" ht="17" customHeight="1">
      <c r="A10" s="158"/>
      <c r="B10" s="158"/>
    </row>
    <row r="11" spans="1:5" ht="17" customHeight="1">
      <c r="A11" s="158"/>
      <c r="B11" s="158" t="s">
        <v>46</v>
      </c>
    </row>
    <row r="12" spans="1:5" ht="17" customHeight="1">
      <c r="A12" s="158"/>
      <c r="B12" s="158" t="s">
        <v>47</v>
      </c>
    </row>
    <row r="13" spans="1:5" ht="17" customHeight="1">
      <c r="A13" s="158"/>
      <c r="B13" s="158" t="s">
        <v>48</v>
      </c>
    </row>
    <row r="14" spans="1:5" ht="17" customHeight="1">
      <c r="A14" s="158"/>
    </row>
    <row r="15" spans="1:5" ht="17" customHeight="1">
      <c r="A15" s="158"/>
      <c r="B15" s="158" t="s">
        <v>49</v>
      </c>
      <c r="E15" s="126">
        <f>SUM(D16:D18)</f>
        <v>68400</v>
      </c>
    </row>
    <row r="16" spans="1:5" ht="17" customHeight="1">
      <c r="A16" s="158"/>
      <c r="B16" s="158"/>
      <c r="C16" s="91" t="s">
        <v>100</v>
      </c>
      <c r="D16" s="94">
        <v>29400</v>
      </c>
    </row>
    <row r="17" spans="1:16" ht="17" customHeight="1">
      <c r="A17" s="158"/>
      <c r="B17" s="158"/>
      <c r="C17" s="91" t="s">
        <v>101</v>
      </c>
      <c r="D17" s="94">
        <v>9000</v>
      </c>
    </row>
    <row r="18" spans="1:16" ht="17" customHeight="1">
      <c r="A18" s="158"/>
      <c r="B18" s="158"/>
      <c r="C18" s="91" t="s">
        <v>460</v>
      </c>
      <c r="D18" s="94">
        <v>30000</v>
      </c>
    </row>
    <row r="19" spans="1:16" ht="17" customHeight="1">
      <c r="A19" s="158"/>
      <c r="B19" s="158"/>
    </row>
    <row r="20" spans="1:16" ht="17" customHeight="1">
      <c r="A20" s="158"/>
      <c r="B20" s="158" t="s">
        <v>50</v>
      </c>
      <c r="E20" s="126">
        <f>SUM(D21:D25)</f>
        <v>9332</v>
      </c>
    </row>
    <row r="21" spans="1:16" ht="17" customHeight="1">
      <c r="C21" s="91" t="s">
        <v>532</v>
      </c>
      <c r="D21" s="94">
        <v>2500</v>
      </c>
      <c r="E21" s="175"/>
    </row>
    <row r="22" spans="1:16" ht="17" customHeight="1">
      <c r="B22" s="158"/>
      <c r="C22" s="91" t="s">
        <v>64</v>
      </c>
      <c r="D22" s="94">
        <v>900</v>
      </c>
      <c r="E22" s="175" t="s">
        <v>533</v>
      </c>
    </row>
    <row r="23" spans="1:16" ht="17" customHeight="1">
      <c r="B23" s="158"/>
      <c r="C23" s="91" t="s">
        <v>66</v>
      </c>
      <c r="D23" s="94">
        <v>0</v>
      </c>
      <c r="E23" s="175"/>
      <c r="I23" s="176" t="s">
        <v>113</v>
      </c>
      <c r="J23" s="177"/>
      <c r="K23" s="178"/>
      <c r="L23" s="179">
        <f>SUM(K24:K33)</f>
        <v>2560</v>
      </c>
    </row>
    <row r="24" spans="1:16" ht="17" customHeight="1">
      <c r="B24" s="158"/>
      <c r="C24" s="91" t="s">
        <v>119</v>
      </c>
      <c r="D24" s="94">
        <v>2200</v>
      </c>
      <c r="E24" s="175"/>
      <c r="I24" s="180"/>
      <c r="J24" s="327" t="s">
        <v>535</v>
      </c>
      <c r="K24" s="125">
        <v>0</v>
      </c>
      <c r="L24" s="181"/>
    </row>
    <row r="25" spans="1:16" ht="17" customHeight="1">
      <c r="B25" s="158"/>
      <c r="C25" s="91" t="s">
        <v>120</v>
      </c>
      <c r="D25" s="94">
        <v>3732</v>
      </c>
      <c r="E25" s="175" t="s">
        <v>534</v>
      </c>
      <c r="I25" s="180"/>
      <c r="J25" s="122" t="s">
        <v>114</v>
      </c>
      <c r="K25" s="125">
        <v>0</v>
      </c>
      <c r="L25" s="181"/>
    </row>
    <row r="26" spans="1:16" ht="17" customHeight="1">
      <c r="I26" s="180"/>
      <c r="J26" s="327" t="s">
        <v>115</v>
      </c>
      <c r="K26" s="125">
        <v>0</v>
      </c>
      <c r="L26" s="181"/>
    </row>
    <row r="27" spans="1:16" ht="17" customHeight="1">
      <c r="B27" s="158" t="s">
        <v>108</v>
      </c>
      <c r="E27" s="126">
        <f>SUM(D28:D34)</f>
        <v>5916</v>
      </c>
      <c r="I27" s="180"/>
      <c r="J27" s="122" t="s">
        <v>592</v>
      </c>
      <c r="K27" s="125">
        <v>99</v>
      </c>
      <c r="L27" s="181"/>
      <c r="N27" s="329" t="s">
        <v>603</v>
      </c>
    </row>
    <row r="28" spans="1:16" ht="17" customHeight="1">
      <c r="C28" s="91" t="s">
        <v>109</v>
      </c>
      <c r="D28" s="182">
        <f>L23</f>
        <v>2560</v>
      </c>
      <c r="E28" s="183"/>
      <c r="F28" s="184"/>
      <c r="G28" s="184"/>
      <c r="H28" s="184"/>
      <c r="I28" s="180"/>
      <c r="J28" s="122" t="s">
        <v>593</v>
      </c>
      <c r="K28" s="125">
        <v>121</v>
      </c>
      <c r="L28" s="181"/>
      <c r="N28" s="91" t="s">
        <v>600</v>
      </c>
      <c r="P28" s="328">
        <v>375</v>
      </c>
    </row>
    <row r="29" spans="1:16" ht="17" customHeight="1">
      <c r="C29" s="91" t="s">
        <v>110</v>
      </c>
      <c r="D29" s="94">
        <v>300</v>
      </c>
      <c r="I29" s="180"/>
      <c r="J29" s="122" t="s">
        <v>116</v>
      </c>
      <c r="K29" s="125">
        <v>1080</v>
      </c>
      <c r="L29" s="181"/>
      <c r="N29" s="91" t="s">
        <v>601</v>
      </c>
    </row>
    <row r="30" spans="1:16" ht="17" customHeight="1">
      <c r="C30" s="91" t="s">
        <v>111</v>
      </c>
      <c r="D30" s="94">
        <v>500</v>
      </c>
      <c r="I30" s="180"/>
      <c r="J30" s="122" t="s">
        <v>594</v>
      </c>
      <c r="K30" s="125">
        <v>950</v>
      </c>
      <c r="L30" s="181"/>
      <c r="N30" s="91" t="s">
        <v>602</v>
      </c>
    </row>
    <row r="31" spans="1:16" ht="17" customHeight="1">
      <c r="C31" s="91" t="s">
        <v>66</v>
      </c>
      <c r="D31" s="94">
        <f>300+1106</f>
        <v>1406</v>
      </c>
      <c r="E31" s="175" t="s">
        <v>604</v>
      </c>
      <c r="I31" s="180"/>
      <c r="J31" s="122" t="s">
        <v>117</v>
      </c>
      <c r="K31" s="125">
        <v>120</v>
      </c>
      <c r="L31" s="185"/>
    </row>
    <row r="32" spans="1:16" ht="17" customHeight="1">
      <c r="C32" s="91" t="s">
        <v>579</v>
      </c>
      <c r="D32" s="94">
        <v>0</v>
      </c>
      <c r="I32" s="180"/>
      <c r="J32" s="122" t="s">
        <v>118</v>
      </c>
      <c r="K32" s="125">
        <v>140</v>
      </c>
      <c r="L32" s="185"/>
    </row>
    <row r="33" spans="1:12" ht="17" customHeight="1">
      <c r="C33" s="91" t="s">
        <v>112</v>
      </c>
      <c r="D33" s="94">
        <v>150</v>
      </c>
      <c r="I33" s="186"/>
      <c r="J33" s="129" t="s">
        <v>595</v>
      </c>
      <c r="K33" s="130">
        <v>50</v>
      </c>
      <c r="L33" s="187"/>
    </row>
    <row r="34" spans="1:12" ht="17" customHeight="1">
      <c r="C34" s="91" t="s">
        <v>599</v>
      </c>
      <c r="D34" s="94">
        <v>1000</v>
      </c>
    </row>
    <row r="35" spans="1:12" ht="17" customHeight="1">
      <c r="A35" s="109"/>
    </row>
    <row r="36" spans="1:12" ht="17" customHeight="1">
      <c r="A36" s="10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workbookViewId="0">
      <selection activeCell="C9" sqref="C9"/>
    </sheetView>
  </sheetViews>
  <sheetFormatPr baseColWidth="10" defaultColWidth="10.83203125" defaultRowHeight="15" x14ac:dyDescent="0"/>
  <cols>
    <col min="1" max="1" width="10" style="188" customWidth="1"/>
    <col min="2" max="2" width="7.1640625" style="188" customWidth="1"/>
    <col min="3" max="3" width="26" style="188" customWidth="1"/>
    <col min="4" max="5" width="10.83203125" style="188"/>
    <col min="6" max="6" width="12.5" style="188" bestFit="1" customWidth="1"/>
    <col min="7" max="7" width="3.33203125" style="188" customWidth="1"/>
    <col min="8" max="8" width="10.83203125" style="188"/>
    <col min="9" max="9" width="15" style="188" customWidth="1"/>
    <col min="10" max="10" width="15" style="189" customWidth="1"/>
    <col min="11" max="16384" width="10.83203125" style="188"/>
  </cols>
  <sheetData>
    <row r="1" spans="1:18">
      <c r="A1" s="188" t="s">
        <v>559</v>
      </c>
    </row>
    <row r="4" spans="1:18" ht="16" thickBot="1">
      <c r="A4" s="16" t="s">
        <v>126</v>
      </c>
      <c r="B4" s="16"/>
      <c r="C4" s="17" t="s">
        <v>127</v>
      </c>
      <c r="D4" s="18" t="s">
        <v>128</v>
      </c>
      <c r="E4" s="18" t="s">
        <v>129</v>
      </c>
      <c r="F4" s="19" t="s">
        <v>130</v>
      </c>
      <c r="G4" s="19"/>
      <c r="H4" s="17" t="s">
        <v>132</v>
      </c>
      <c r="I4" s="17" t="s">
        <v>133</v>
      </c>
      <c r="J4" s="20" t="s">
        <v>365</v>
      </c>
      <c r="K4" s="20" t="s">
        <v>366</v>
      </c>
      <c r="O4" s="190"/>
      <c r="P4" s="190"/>
      <c r="Q4" s="190"/>
      <c r="R4" s="190"/>
    </row>
    <row r="5" spans="1:18">
      <c r="A5" s="191"/>
    </row>
    <row r="6" spans="1:18">
      <c r="A6" s="191"/>
      <c r="F6" s="192"/>
    </row>
    <row r="7" spans="1:18">
      <c r="A7" s="193" t="s">
        <v>84</v>
      </c>
      <c r="B7" s="194"/>
      <c r="C7" s="194"/>
      <c r="F7" s="192"/>
    </row>
    <row r="8" spans="1:18">
      <c r="F8" s="192"/>
    </row>
    <row r="9" spans="1:18">
      <c r="F9" s="192"/>
    </row>
    <row r="10" spans="1:18">
      <c r="F10" s="192"/>
    </row>
    <row r="11" spans="1:18">
      <c r="A11" s="188" t="s">
        <v>134</v>
      </c>
      <c r="B11" s="188">
        <v>5</v>
      </c>
      <c r="C11" s="188" t="s">
        <v>135</v>
      </c>
      <c r="F11" s="192">
        <v>8000</v>
      </c>
      <c r="G11" s="188" t="s">
        <v>121</v>
      </c>
      <c r="H11" s="188" t="s">
        <v>136</v>
      </c>
      <c r="I11" s="188" t="s">
        <v>137</v>
      </c>
    </row>
    <row r="12" spans="1:18">
      <c r="B12" s="188">
        <v>8</v>
      </c>
      <c r="C12" s="188" t="s">
        <v>138</v>
      </c>
      <c r="D12" s="188" t="s">
        <v>367</v>
      </c>
      <c r="F12" s="192">
        <v>5000</v>
      </c>
      <c r="G12" s="188" t="s">
        <v>121</v>
      </c>
      <c r="H12" s="188" t="s">
        <v>136</v>
      </c>
      <c r="I12" s="188" t="s">
        <v>139</v>
      </c>
    </row>
    <row r="14" spans="1:18">
      <c r="B14" s="188">
        <v>26</v>
      </c>
      <c r="C14" s="188" t="s">
        <v>140</v>
      </c>
      <c r="D14" s="188" t="s">
        <v>141</v>
      </c>
      <c r="E14" s="188" t="s">
        <v>142</v>
      </c>
      <c r="F14" s="192">
        <v>19000</v>
      </c>
      <c r="G14" s="188" t="s">
        <v>121</v>
      </c>
      <c r="H14" s="188" t="s">
        <v>143</v>
      </c>
    </row>
    <row r="15" spans="1:18" s="194" customFormat="1">
      <c r="F15" s="195"/>
      <c r="J15" s="196"/>
    </row>
    <row r="16" spans="1:18">
      <c r="B16" s="188">
        <v>28</v>
      </c>
      <c r="C16" s="188" t="s">
        <v>144</v>
      </c>
      <c r="D16" s="188" t="s">
        <v>145</v>
      </c>
      <c r="E16" s="188" t="s">
        <v>146</v>
      </c>
      <c r="F16" s="192">
        <v>5400</v>
      </c>
      <c r="G16" s="188" t="s">
        <v>121</v>
      </c>
      <c r="H16" s="188" t="s">
        <v>147</v>
      </c>
      <c r="I16" s="188" t="s">
        <v>148</v>
      </c>
    </row>
    <row r="17" spans="1:11">
      <c r="B17" s="188">
        <v>30</v>
      </c>
      <c r="D17" s="188" t="s">
        <v>149</v>
      </c>
      <c r="E17" s="188" t="s">
        <v>150</v>
      </c>
      <c r="F17" s="192">
        <v>9000</v>
      </c>
      <c r="G17" s="188" t="s">
        <v>121</v>
      </c>
      <c r="H17" s="188" t="s">
        <v>151</v>
      </c>
      <c r="I17" s="188" t="s">
        <v>152</v>
      </c>
    </row>
    <row r="18" spans="1:11">
      <c r="B18" s="188">
        <v>29</v>
      </c>
      <c r="C18" s="188" t="s">
        <v>153</v>
      </c>
      <c r="D18" s="188" t="s">
        <v>154</v>
      </c>
      <c r="E18" s="188" t="s">
        <v>155</v>
      </c>
      <c r="F18" s="192">
        <v>5000</v>
      </c>
      <c r="G18" s="188" t="s">
        <v>121</v>
      </c>
      <c r="H18" s="188" t="s">
        <v>147</v>
      </c>
      <c r="I18" s="188" t="s">
        <v>156</v>
      </c>
    </row>
    <row r="19" spans="1:11">
      <c r="F19" s="192"/>
      <c r="J19" s="197">
        <f>SUM(F11:F18)</f>
        <v>51400</v>
      </c>
    </row>
    <row r="20" spans="1:11">
      <c r="F20" s="192"/>
    </row>
    <row r="21" spans="1:11">
      <c r="F21" s="192"/>
    </row>
    <row r="22" spans="1:11">
      <c r="F22" s="192"/>
    </row>
    <row r="23" spans="1:11">
      <c r="F23" s="192"/>
    </row>
    <row r="24" spans="1:11">
      <c r="A24" s="188" t="s">
        <v>157</v>
      </c>
      <c r="B24" s="188">
        <v>4</v>
      </c>
      <c r="D24" s="188" t="s">
        <v>158</v>
      </c>
      <c r="E24" s="188" t="s">
        <v>159</v>
      </c>
      <c r="F24" s="192">
        <v>6500</v>
      </c>
      <c r="G24" s="188" t="s">
        <v>121</v>
      </c>
      <c r="H24" s="188" t="s">
        <v>147</v>
      </c>
      <c r="I24" s="188" t="s">
        <v>160</v>
      </c>
    </row>
    <row r="25" spans="1:11">
      <c r="B25" s="188">
        <v>5</v>
      </c>
      <c r="C25" s="188" t="s">
        <v>161</v>
      </c>
      <c r="D25" s="188" t="s">
        <v>162</v>
      </c>
      <c r="E25" s="188" t="s">
        <v>159</v>
      </c>
      <c r="F25" s="192">
        <v>13000</v>
      </c>
      <c r="G25" s="188" t="s">
        <v>121</v>
      </c>
      <c r="H25" s="188" t="s">
        <v>163</v>
      </c>
      <c r="I25" s="188" t="s">
        <v>164</v>
      </c>
      <c r="K25" s="188" t="s">
        <v>165</v>
      </c>
    </row>
    <row r="26" spans="1:11">
      <c r="B26" s="188">
        <v>6</v>
      </c>
      <c r="C26" s="188" t="s">
        <v>166</v>
      </c>
      <c r="D26" s="188" t="s">
        <v>167</v>
      </c>
      <c r="E26" s="188" t="s">
        <v>142</v>
      </c>
      <c r="F26" s="192">
        <v>14000</v>
      </c>
      <c r="G26" s="188" t="s">
        <v>121</v>
      </c>
      <c r="H26" s="188" t="s">
        <v>163</v>
      </c>
      <c r="I26" s="188" t="s">
        <v>168</v>
      </c>
    </row>
    <row r="27" spans="1:11">
      <c r="B27" s="188">
        <v>9</v>
      </c>
      <c r="C27" s="188" t="s">
        <v>169</v>
      </c>
      <c r="D27" s="188" t="s">
        <v>145</v>
      </c>
      <c r="E27" s="188" t="s">
        <v>146</v>
      </c>
      <c r="F27" s="192">
        <v>14000</v>
      </c>
      <c r="G27" s="188" t="s">
        <v>121</v>
      </c>
      <c r="H27" s="188" t="s">
        <v>147</v>
      </c>
      <c r="I27" s="188" t="s">
        <v>148</v>
      </c>
    </row>
    <row r="28" spans="1:11">
      <c r="B28" s="188" t="s">
        <v>170</v>
      </c>
      <c r="D28" s="188" t="s">
        <v>171</v>
      </c>
      <c r="E28" s="188" t="s">
        <v>172</v>
      </c>
      <c r="F28" s="192">
        <v>18000</v>
      </c>
      <c r="G28" s="188" t="s">
        <v>121</v>
      </c>
      <c r="H28" s="188" t="s">
        <v>143</v>
      </c>
      <c r="I28" s="188" t="s">
        <v>173</v>
      </c>
    </row>
    <row r="29" spans="1:11">
      <c r="B29" s="188">
        <v>11</v>
      </c>
      <c r="C29" s="188" t="s">
        <v>174</v>
      </c>
      <c r="D29" s="188" t="s">
        <v>175</v>
      </c>
      <c r="E29" s="188" t="s">
        <v>172</v>
      </c>
      <c r="F29" s="192">
        <v>14000</v>
      </c>
      <c r="G29" s="188" t="s">
        <v>121</v>
      </c>
      <c r="H29" s="188" t="s">
        <v>143</v>
      </c>
      <c r="I29" s="188" t="s">
        <v>176</v>
      </c>
    </row>
    <row r="30" spans="1:11">
      <c r="J30" s="197">
        <f>SUM(F24:F29)</f>
        <v>79500</v>
      </c>
    </row>
    <row r="31" spans="1:11">
      <c r="F31" s="192"/>
    </row>
    <row r="32" spans="1:11">
      <c r="F32" s="192"/>
    </row>
    <row r="33" spans="1:17">
      <c r="F33" s="192"/>
    </row>
    <row r="34" spans="1:17">
      <c r="A34" s="188" t="s">
        <v>177</v>
      </c>
      <c r="F34" s="192"/>
    </row>
    <row r="35" spans="1:17">
      <c r="B35" s="198">
        <v>3</v>
      </c>
      <c r="D35" s="188" t="s">
        <v>178</v>
      </c>
      <c r="E35" s="188" t="s">
        <v>179</v>
      </c>
      <c r="F35" s="192">
        <v>9000</v>
      </c>
      <c r="G35" s="188" t="s">
        <v>121</v>
      </c>
      <c r="H35" s="188" t="s">
        <v>180</v>
      </c>
      <c r="I35" s="188" t="s">
        <v>181</v>
      </c>
      <c r="K35" s="188" t="s">
        <v>182</v>
      </c>
    </row>
    <row r="36" spans="1:17">
      <c r="B36" s="188">
        <v>4</v>
      </c>
      <c r="C36" s="188" t="s">
        <v>183</v>
      </c>
      <c r="D36" s="188" t="s">
        <v>184</v>
      </c>
      <c r="E36" s="188" t="s">
        <v>179</v>
      </c>
      <c r="F36" s="192">
        <v>4000</v>
      </c>
      <c r="G36" s="188" t="s">
        <v>121</v>
      </c>
      <c r="H36" s="188" t="s">
        <v>185</v>
      </c>
      <c r="I36" s="188" t="s">
        <v>186</v>
      </c>
      <c r="K36" s="188" t="s">
        <v>187</v>
      </c>
    </row>
    <row r="37" spans="1:17">
      <c r="B37" s="188">
        <v>6</v>
      </c>
      <c r="C37" s="188" t="s">
        <v>188</v>
      </c>
      <c r="D37" s="188" t="s">
        <v>189</v>
      </c>
      <c r="E37" s="188" t="s">
        <v>190</v>
      </c>
      <c r="F37" s="192">
        <v>10000</v>
      </c>
      <c r="G37" s="188" t="s">
        <v>121</v>
      </c>
      <c r="H37" s="188" t="s">
        <v>163</v>
      </c>
      <c r="I37" s="188" t="s">
        <v>191</v>
      </c>
    </row>
    <row r="38" spans="1:17">
      <c r="B38" s="188">
        <v>8</v>
      </c>
      <c r="C38" s="188" t="s">
        <v>192</v>
      </c>
      <c r="D38" s="188" t="s">
        <v>193</v>
      </c>
      <c r="E38" s="188" t="s">
        <v>194</v>
      </c>
      <c r="F38" s="192">
        <v>12000</v>
      </c>
      <c r="G38" s="188" t="s">
        <v>121</v>
      </c>
      <c r="H38" s="188" t="s">
        <v>163</v>
      </c>
      <c r="I38" s="188" t="s">
        <v>148</v>
      </c>
    </row>
    <row r="39" spans="1:17">
      <c r="B39" s="188">
        <v>10</v>
      </c>
      <c r="C39" s="188" t="s">
        <v>195</v>
      </c>
      <c r="D39" s="188" t="s">
        <v>196</v>
      </c>
      <c r="E39" s="188" t="s">
        <v>197</v>
      </c>
      <c r="F39" s="192">
        <v>5000</v>
      </c>
      <c r="G39" s="188" t="s">
        <v>121</v>
      </c>
      <c r="H39" s="188" t="s">
        <v>147</v>
      </c>
      <c r="I39" s="188" t="s">
        <v>198</v>
      </c>
      <c r="K39" s="199" t="s">
        <v>368</v>
      </c>
    </row>
    <row r="40" spans="1:17">
      <c r="F40" s="192"/>
      <c r="J40" s="197">
        <f>SUM(F35:F39)</f>
        <v>40000</v>
      </c>
    </row>
    <row r="41" spans="1:17">
      <c r="A41" s="188" t="s">
        <v>88</v>
      </c>
      <c r="F41" s="192"/>
    </row>
    <row r="42" spans="1:17">
      <c r="A42" s="191"/>
      <c r="B42" s="188">
        <v>6</v>
      </c>
      <c r="C42" s="188" t="s">
        <v>199</v>
      </c>
      <c r="D42" s="188" t="s">
        <v>200</v>
      </c>
      <c r="E42" s="188" t="s">
        <v>194</v>
      </c>
      <c r="F42" s="192">
        <v>10000</v>
      </c>
      <c r="G42" s="188" t="s">
        <v>121</v>
      </c>
      <c r="H42" s="188" t="s">
        <v>136</v>
      </c>
      <c r="I42" s="188" t="s">
        <v>201</v>
      </c>
    </row>
    <row r="43" spans="1:17">
      <c r="A43" s="191"/>
      <c r="B43" s="188">
        <v>7</v>
      </c>
      <c r="C43" s="188" t="s">
        <v>369</v>
      </c>
      <c r="D43" s="188" t="s">
        <v>370</v>
      </c>
      <c r="E43" s="188" t="s">
        <v>197</v>
      </c>
      <c r="F43" s="192">
        <v>7000</v>
      </c>
      <c r="H43" s="188" t="s">
        <v>371</v>
      </c>
      <c r="I43" s="188" t="s">
        <v>372</v>
      </c>
    </row>
    <row r="44" spans="1:17">
      <c r="A44" s="191"/>
      <c r="F44" s="192"/>
      <c r="J44" s="197">
        <f>SUM(F42:F44)</f>
        <v>17000</v>
      </c>
      <c r="O44" s="200"/>
      <c r="P44" s="200"/>
      <c r="Q44" s="200"/>
    </row>
    <row r="45" spans="1:17">
      <c r="A45" s="191" t="s">
        <v>89</v>
      </c>
      <c r="F45" s="192"/>
      <c r="M45" s="200"/>
      <c r="N45" s="200"/>
    </row>
    <row r="46" spans="1:17">
      <c r="A46" s="191"/>
      <c r="B46" s="188">
        <v>2</v>
      </c>
      <c r="C46" s="188" t="s">
        <v>202</v>
      </c>
      <c r="D46" s="188" t="s">
        <v>203</v>
      </c>
      <c r="E46" s="188" t="s">
        <v>204</v>
      </c>
      <c r="F46" s="192">
        <v>7000</v>
      </c>
      <c r="G46" s="188" t="s">
        <v>121</v>
      </c>
      <c r="H46" s="188" t="s">
        <v>143</v>
      </c>
      <c r="I46" s="188" t="s">
        <v>205</v>
      </c>
    </row>
    <row r="47" spans="1:17">
      <c r="A47" s="191"/>
      <c r="B47" s="188">
        <v>5</v>
      </c>
      <c r="C47" s="188" t="s">
        <v>206</v>
      </c>
      <c r="D47" s="188" t="s">
        <v>207</v>
      </c>
      <c r="E47" s="188" t="s">
        <v>208</v>
      </c>
      <c r="F47" s="192">
        <v>7000</v>
      </c>
      <c r="G47" s="188" t="s">
        <v>121</v>
      </c>
      <c r="H47" s="188" t="s">
        <v>136</v>
      </c>
      <c r="I47" s="188" t="s">
        <v>209</v>
      </c>
    </row>
    <row r="48" spans="1:17">
      <c r="A48" s="191"/>
      <c r="B48" s="188">
        <v>7</v>
      </c>
      <c r="C48" s="188" t="s">
        <v>210</v>
      </c>
      <c r="D48" s="188" t="s">
        <v>211</v>
      </c>
      <c r="E48" s="188" t="s">
        <v>208</v>
      </c>
      <c r="F48" s="192">
        <v>8000</v>
      </c>
      <c r="G48" s="188" t="s">
        <v>121</v>
      </c>
      <c r="H48" s="188" t="s">
        <v>212</v>
      </c>
      <c r="I48" s="188" t="s">
        <v>213</v>
      </c>
    </row>
    <row r="49" spans="1:17">
      <c r="A49" s="191"/>
      <c r="B49" s="188" t="s">
        <v>214</v>
      </c>
      <c r="C49" s="188" t="s">
        <v>215</v>
      </c>
      <c r="D49" s="188" t="s">
        <v>216</v>
      </c>
      <c r="E49" s="188" t="s">
        <v>208</v>
      </c>
      <c r="F49" s="192">
        <v>20000</v>
      </c>
      <c r="G49" s="188" t="s">
        <v>121</v>
      </c>
      <c r="H49" s="188" t="s">
        <v>217</v>
      </c>
      <c r="I49" s="188" t="s">
        <v>198</v>
      </c>
      <c r="L49" s="200"/>
    </row>
    <row r="50" spans="1:17">
      <c r="A50" s="191"/>
      <c r="B50" s="188">
        <v>10</v>
      </c>
      <c r="D50" s="188" t="s">
        <v>218</v>
      </c>
      <c r="E50" s="188" t="s">
        <v>208</v>
      </c>
      <c r="F50" s="192">
        <v>13000</v>
      </c>
      <c r="G50" s="188" t="s">
        <v>121</v>
      </c>
      <c r="H50" s="188" t="s">
        <v>136</v>
      </c>
    </row>
    <row r="51" spans="1:17">
      <c r="A51" s="191"/>
      <c r="B51" s="188">
        <v>12</v>
      </c>
      <c r="C51" s="188" t="s">
        <v>219</v>
      </c>
      <c r="D51" s="188" t="s">
        <v>220</v>
      </c>
      <c r="E51" s="188" t="s">
        <v>221</v>
      </c>
      <c r="F51" s="192">
        <v>8000</v>
      </c>
      <c r="G51" s="188" t="s">
        <v>121</v>
      </c>
      <c r="H51" s="188" t="s">
        <v>147</v>
      </c>
      <c r="I51" s="188" t="s">
        <v>173</v>
      </c>
    </row>
    <row r="52" spans="1:17">
      <c r="A52" s="191"/>
      <c r="F52" s="192"/>
    </row>
    <row r="53" spans="1:17">
      <c r="A53" s="191"/>
      <c r="B53" s="188" t="s">
        <v>222</v>
      </c>
      <c r="C53" s="188" t="s">
        <v>223</v>
      </c>
      <c r="D53" s="188" t="s">
        <v>224</v>
      </c>
      <c r="E53" s="188" t="s">
        <v>225</v>
      </c>
      <c r="F53" s="192">
        <v>14000</v>
      </c>
      <c r="G53" s="188" t="s">
        <v>121</v>
      </c>
      <c r="H53" s="188" t="s">
        <v>147</v>
      </c>
      <c r="I53" s="188" t="s">
        <v>226</v>
      </c>
      <c r="O53" s="200"/>
      <c r="P53" s="200"/>
      <c r="Q53" s="200"/>
    </row>
    <row r="54" spans="1:17">
      <c r="A54" s="191"/>
      <c r="B54" s="188">
        <v>17</v>
      </c>
      <c r="C54" s="188" t="s">
        <v>227</v>
      </c>
      <c r="D54" s="188" t="s">
        <v>228</v>
      </c>
      <c r="E54" s="188" t="s">
        <v>225</v>
      </c>
      <c r="F54" s="192">
        <v>10000</v>
      </c>
      <c r="G54" s="188" t="s">
        <v>121</v>
      </c>
      <c r="H54" s="188" t="s">
        <v>229</v>
      </c>
      <c r="M54" s="200"/>
      <c r="N54" s="200"/>
      <c r="O54" s="200"/>
      <c r="P54" s="200"/>
      <c r="Q54" s="200"/>
    </row>
    <row r="55" spans="1:17">
      <c r="A55" s="191"/>
      <c r="B55" s="188">
        <v>18</v>
      </c>
      <c r="C55" s="188" t="s">
        <v>230</v>
      </c>
      <c r="D55" s="188" t="s">
        <v>231</v>
      </c>
      <c r="E55" s="188" t="s">
        <v>225</v>
      </c>
      <c r="F55" s="192">
        <v>7500</v>
      </c>
      <c r="G55" s="188" t="s">
        <v>121</v>
      </c>
      <c r="H55" s="188" t="s">
        <v>136</v>
      </c>
      <c r="I55" s="188" t="s">
        <v>232</v>
      </c>
      <c r="M55" s="200"/>
      <c r="N55" s="200"/>
      <c r="O55" s="200"/>
      <c r="P55" s="200"/>
      <c r="Q55" s="200"/>
    </row>
    <row r="56" spans="1:17">
      <c r="A56" s="191"/>
      <c r="F56" s="192"/>
      <c r="J56" s="197">
        <f>SUM(F46:F55)</f>
        <v>94500</v>
      </c>
      <c r="L56" s="200"/>
      <c r="M56" s="200"/>
      <c r="N56" s="200"/>
      <c r="O56" s="200"/>
      <c r="P56" s="200"/>
      <c r="Q56" s="200"/>
    </row>
    <row r="57" spans="1:17">
      <c r="A57" s="191" t="s">
        <v>90</v>
      </c>
      <c r="F57" s="192"/>
      <c r="L57" s="200"/>
      <c r="M57" s="200"/>
      <c r="N57" s="200"/>
      <c r="O57" s="200"/>
      <c r="P57" s="200"/>
      <c r="Q57" s="200"/>
    </row>
    <row r="58" spans="1:17">
      <c r="A58" s="191"/>
      <c r="B58" s="188" t="s">
        <v>234</v>
      </c>
      <c r="C58" s="188" t="s">
        <v>235</v>
      </c>
      <c r="D58" s="188" t="s">
        <v>235</v>
      </c>
      <c r="E58" s="188" t="s">
        <v>190</v>
      </c>
      <c r="F58" s="192">
        <v>15000</v>
      </c>
      <c r="G58" s="188" t="s">
        <v>121</v>
      </c>
      <c r="H58" s="188" t="s">
        <v>236</v>
      </c>
      <c r="I58" s="188" t="s">
        <v>237</v>
      </c>
      <c r="L58" s="200"/>
      <c r="M58" s="200"/>
      <c r="N58" s="200"/>
      <c r="O58" s="200"/>
      <c r="P58" s="200"/>
      <c r="Q58" s="200"/>
    </row>
    <row r="59" spans="1:17">
      <c r="A59" s="191"/>
      <c r="B59" s="188" t="s">
        <v>584</v>
      </c>
      <c r="C59" s="188" t="s">
        <v>233</v>
      </c>
      <c r="F59" s="192">
        <v>8000</v>
      </c>
      <c r="G59" s="188" t="s">
        <v>121</v>
      </c>
      <c r="L59" s="200"/>
      <c r="M59" s="200"/>
      <c r="N59" s="200"/>
      <c r="O59" s="200"/>
      <c r="P59" s="200"/>
      <c r="Q59" s="200"/>
    </row>
    <row r="60" spans="1:17">
      <c r="A60" s="191"/>
      <c r="F60" s="192"/>
      <c r="J60" s="197">
        <f>SUM(F58:F59)</f>
        <v>23000</v>
      </c>
      <c r="L60" s="200"/>
      <c r="M60" s="200"/>
      <c r="N60" s="200"/>
      <c r="O60" s="200"/>
      <c r="P60" s="200"/>
      <c r="Q60" s="200"/>
    </row>
    <row r="61" spans="1:17">
      <c r="A61" s="191" t="s">
        <v>91</v>
      </c>
      <c r="F61" s="192"/>
      <c r="L61" s="200"/>
      <c r="M61" s="200"/>
      <c r="N61" s="200"/>
      <c r="O61" s="200"/>
      <c r="P61" s="200"/>
      <c r="Q61" s="200"/>
    </row>
    <row r="62" spans="1:17">
      <c r="A62" s="191"/>
      <c r="B62" s="188">
        <v>20</v>
      </c>
      <c r="C62" s="188" t="s">
        <v>238</v>
      </c>
      <c r="D62" s="188" t="s">
        <v>239</v>
      </c>
      <c r="E62" s="188" t="s">
        <v>155</v>
      </c>
      <c r="F62" s="192">
        <v>9000</v>
      </c>
      <c r="G62" s="188" t="s">
        <v>121</v>
      </c>
      <c r="H62" s="188" t="s">
        <v>136</v>
      </c>
      <c r="I62" s="188" t="s">
        <v>240</v>
      </c>
      <c r="L62" s="200"/>
      <c r="M62" s="200"/>
      <c r="N62" s="200"/>
      <c r="O62" s="200"/>
      <c r="P62" s="200"/>
      <c r="Q62" s="200"/>
    </row>
    <row r="63" spans="1:17">
      <c r="A63" s="191"/>
      <c r="B63" s="188">
        <v>21</v>
      </c>
      <c r="C63" s="188" t="s">
        <v>241</v>
      </c>
      <c r="D63" s="188" t="s">
        <v>242</v>
      </c>
      <c r="E63" s="188" t="s">
        <v>146</v>
      </c>
      <c r="F63" s="192">
        <v>9000</v>
      </c>
      <c r="G63" s="188" t="s">
        <v>121</v>
      </c>
      <c r="H63" s="188" t="s">
        <v>243</v>
      </c>
      <c r="I63" s="188" t="s">
        <v>244</v>
      </c>
      <c r="L63" s="200"/>
      <c r="M63" s="200"/>
      <c r="N63" s="200"/>
      <c r="O63" s="200"/>
      <c r="P63" s="200"/>
      <c r="Q63" s="200"/>
    </row>
    <row r="64" spans="1:17">
      <c r="A64" s="191"/>
      <c r="B64" s="188">
        <v>23</v>
      </c>
      <c r="D64" s="188" t="s">
        <v>245</v>
      </c>
      <c r="E64" s="188" t="s">
        <v>246</v>
      </c>
      <c r="F64" s="192">
        <v>9000</v>
      </c>
      <c r="G64" s="188" t="s">
        <v>121</v>
      </c>
      <c r="H64" s="188" t="s">
        <v>236</v>
      </c>
      <c r="I64" s="188" t="s">
        <v>247</v>
      </c>
      <c r="L64" s="200"/>
      <c r="M64" s="200"/>
      <c r="N64" s="200"/>
      <c r="O64" s="200"/>
      <c r="P64" s="200"/>
      <c r="Q64" s="200"/>
    </row>
    <row r="65" spans="1:14">
      <c r="A65" s="191" t="s">
        <v>92</v>
      </c>
      <c r="F65" s="192"/>
      <c r="J65" s="197">
        <f>SUM(F62:F64)</f>
        <v>27000</v>
      </c>
      <c r="L65" s="200"/>
      <c r="M65" s="200"/>
      <c r="N65" s="200"/>
    </row>
    <row r="66" spans="1:14">
      <c r="A66" s="201"/>
      <c r="F66" s="192"/>
      <c r="J66" s="189" t="s">
        <v>585</v>
      </c>
      <c r="K66" s="202">
        <f>SUM(J19:J65)</f>
        <v>332400</v>
      </c>
      <c r="L66" s="200"/>
      <c r="M66" s="200"/>
      <c r="N66" s="200"/>
    </row>
    <row r="67" spans="1:14" ht="16" thickBot="1">
      <c r="F67" s="203"/>
      <c r="G67" s="203"/>
    </row>
    <row r="68" spans="1:14" ht="16" thickBot="1">
      <c r="B68" s="204" t="s">
        <v>124</v>
      </c>
      <c r="C68" s="205"/>
      <c r="D68" s="206"/>
      <c r="E68" s="206"/>
      <c r="F68" s="207">
        <f>SUM(F7:F67)</f>
        <v>332400</v>
      </c>
      <c r="G68" s="207"/>
    </row>
    <row r="69" spans="1:14" ht="16" thickBot="1">
      <c r="B69" s="190" t="s">
        <v>248</v>
      </c>
      <c r="C69" s="190"/>
      <c r="D69" s="190"/>
      <c r="E69" s="190"/>
      <c r="F69" s="208"/>
      <c r="G69" s="208"/>
    </row>
    <row r="70" spans="1:14" ht="16" thickBot="1">
      <c r="B70" s="209" t="s">
        <v>249</v>
      </c>
      <c r="C70" s="210"/>
      <c r="D70" s="21"/>
      <c r="E70" s="21"/>
      <c r="F70" s="211"/>
      <c r="G70" s="211"/>
    </row>
    <row r="72" spans="1:14">
      <c r="A72" s="144" t="s">
        <v>554</v>
      </c>
      <c r="F72" s="212"/>
    </row>
    <row r="73" spans="1:14">
      <c r="A73" s="144" t="s">
        <v>555</v>
      </c>
    </row>
    <row r="75" spans="1:14">
      <c r="F75" s="213"/>
    </row>
    <row r="76" spans="1:14">
      <c r="J76" s="188"/>
    </row>
    <row r="77" spans="1:14">
      <c r="J77" s="188"/>
    </row>
    <row r="78" spans="1:14">
      <c r="J78" s="188"/>
    </row>
    <row r="79" spans="1:14">
      <c r="J79" s="188"/>
    </row>
    <row r="80" spans="1:14">
      <c r="J80" s="188"/>
    </row>
    <row r="81" spans="10:10">
      <c r="J81" s="188"/>
    </row>
    <row r="82" spans="10:10">
      <c r="J82" s="188"/>
    </row>
    <row r="83" spans="10:10">
      <c r="J83" s="188"/>
    </row>
    <row r="84" spans="10:10">
      <c r="J84" s="188"/>
    </row>
    <row r="85" spans="10:10">
      <c r="J85" s="188"/>
    </row>
    <row r="86" spans="10:10">
      <c r="J86" s="188"/>
    </row>
    <row r="87" spans="10:10">
      <c r="J87" s="188"/>
    </row>
    <row r="88" spans="10:10">
      <c r="J88" s="188"/>
    </row>
    <row r="89" spans="10:10">
      <c r="J89" s="188"/>
    </row>
    <row r="90" spans="10:10">
      <c r="J90" s="188"/>
    </row>
    <row r="91" spans="10:10">
      <c r="J91" s="188"/>
    </row>
    <row r="92" spans="10:10">
      <c r="J92" s="188"/>
    </row>
    <row r="93" spans="10:10">
      <c r="J93" s="188"/>
    </row>
    <row r="94" spans="10:10">
      <c r="J94" s="18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C10" sqref="C10"/>
    </sheetView>
  </sheetViews>
  <sheetFormatPr baseColWidth="10" defaultColWidth="11" defaultRowHeight="15" x14ac:dyDescent="0"/>
  <cols>
    <col min="1" max="1" width="10" style="91" customWidth="1"/>
    <col min="2" max="2" width="4.5" style="91" customWidth="1"/>
    <col min="3" max="3" width="26" style="91" customWidth="1"/>
    <col min="4" max="5" width="11" style="91"/>
    <col min="6" max="6" width="12.5" style="91" bestFit="1" customWidth="1"/>
    <col min="7" max="7" width="3.33203125" style="91" customWidth="1"/>
    <col min="8" max="9" width="11" style="91"/>
    <col min="10" max="10" width="15" style="91" customWidth="1"/>
    <col min="11" max="16384" width="11" style="91"/>
  </cols>
  <sheetData>
    <row r="1" spans="1:18" ht="18">
      <c r="A1" s="330" t="s">
        <v>610</v>
      </c>
    </row>
    <row r="3" spans="1:18" ht="16" thickBot="1">
      <c r="A3" s="3" t="s">
        <v>126</v>
      </c>
      <c r="B3" s="3"/>
      <c r="C3" s="4" t="s">
        <v>127</v>
      </c>
      <c r="D3" s="5" t="s">
        <v>128</v>
      </c>
      <c r="E3" s="5" t="s">
        <v>129</v>
      </c>
      <c r="F3" s="6" t="s">
        <v>130</v>
      </c>
      <c r="G3" s="6"/>
      <c r="H3" s="6" t="s">
        <v>131</v>
      </c>
      <c r="I3" s="4" t="s">
        <v>132</v>
      </c>
      <c r="J3" s="4" t="s">
        <v>133</v>
      </c>
      <c r="O3" s="92"/>
      <c r="P3" s="92"/>
      <c r="Q3" s="92"/>
      <c r="R3" s="92"/>
    </row>
    <row r="4" spans="1:18">
      <c r="B4" s="93"/>
      <c r="J4" s="95"/>
    </row>
    <row r="5" spans="1:18">
      <c r="A5" s="281">
        <v>42646</v>
      </c>
      <c r="B5" s="93"/>
      <c r="C5" s="91" t="s">
        <v>573</v>
      </c>
      <c r="D5" s="91" t="s">
        <v>252</v>
      </c>
      <c r="E5" s="91" t="s">
        <v>197</v>
      </c>
      <c r="H5" s="93">
        <v>106873</v>
      </c>
      <c r="J5" s="95" t="s">
        <v>608</v>
      </c>
    </row>
    <row r="6" spans="1:18">
      <c r="J6" s="95"/>
    </row>
    <row r="7" spans="1:18">
      <c r="A7" s="281">
        <v>42764</v>
      </c>
      <c r="B7" s="93"/>
      <c r="C7" s="91" t="s">
        <v>250</v>
      </c>
      <c r="D7" s="91" t="s">
        <v>605</v>
      </c>
      <c r="E7" s="91" t="s">
        <v>197</v>
      </c>
      <c r="F7" s="94">
        <v>5000</v>
      </c>
      <c r="J7" s="95" t="s">
        <v>606</v>
      </c>
    </row>
    <row r="8" spans="1:18">
      <c r="B8" s="93"/>
      <c r="J8" s="95"/>
    </row>
    <row r="9" spans="1:18">
      <c r="A9" s="281">
        <v>42488</v>
      </c>
      <c r="C9" s="91" t="s">
        <v>253</v>
      </c>
      <c r="D9" s="91" t="s">
        <v>605</v>
      </c>
      <c r="E9" s="91" t="s">
        <v>197</v>
      </c>
      <c r="F9" s="94"/>
      <c r="H9" s="94">
        <v>2000</v>
      </c>
      <c r="J9" s="95" t="s">
        <v>609</v>
      </c>
    </row>
    <row r="10" spans="1:18">
      <c r="A10" s="95"/>
      <c r="F10" s="96"/>
      <c r="H10" s="93"/>
      <c r="J10" s="95"/>
    </row>
    <row r="11" spans="1:18">
      <c r="A11" s="281">
        <v>42490</v>
      </c>
      <c r="C11" s="91" t="s">
        <v>251</v>
      </c>
      <c r="D11" s="91" t="s">
        <v>252</v>
      </c>
      <c r="E11" s="91" t="s">
        <v>197</v>
      </c>
      <c r="F11" s="96">
        <v>9000</v>
      </c>
      <c r="H11" s="93"/>
      <c r="J11" s="95" t="s">
        <v>607</v>
      </c>
    </row>
    <row r="12" spans="1:18">
      <c r="A12" s="95"/>
      <c r="F12" s="96"/>
      <c r="H12" s="93"/>
      <c r="J12" s="95"/>
    </row>
    <row r="13" spans="1:18">
      <c r="A13" s="281"/>
      <c r="F13" s="96"/>
      <c r="H13" s="93"/>
      <c r="J13" s="95"/>
    </row>
    <row r="14" spans="1:18">
      <c r="A14" s="95"/>
      <c r="F14" s="96"/>
      <c r="H14" s="93"/>
      <c r="J14" s="95"/>
    </row>
    <row r="15" spans="1:18">
      <c r="A15" s="95"/>
      <c r="F15" s="96"/>
      <c r="H15" s="93"/>
      <c r="J15" s="95"/>
    </row>
    <row r="16" spans="1:18" ht="16" thickBot="1">
      <c r="A16" s="97"/>
      <c r="F16" s="98"/>
      <c r="G16" s="98"/>
      <c r="H16" s="93"/>
      <c r="J16" s="95"/>
    </row>
    <row r="17" spans="1:19" ht="16" thickBot="1">
      <c r="A17" s="99"/>
      <c r="B17" s="100" t="s">
        <v>124</v>
      </c>
      <c r="C17" s="101"/>
      <c r="D17" s="102"/>
      <c r="E17" s="102"/>
      <c r="F17" s="103">
        <f>SUM(F5:F16)</f>
        <v>14000</v>
      </c>
      <c r="G17" s="103"/>
      <c r="H17" s="103">
        <f>SUM(H4:H15)</f>
        <v>108873</v>
      </c>
      <c r="J17" s="95"/>
    </row>
    <row r="18" spans="1:19" ht="16" thickBot="1">
      <c r="A18" s="99"/>
      <c r="B18" s="92" t="s">
        <v>248</v>
      </c>
      <c r="C18" s="92"/>
      <c r="D18" s="92"/>
      <c r="E18" s="92"/>
      <c r="F18" s="104"/>
      <c r="G18" s="104"/>
      <c r="H18" s="104">
        <f>F17+H17</f>
        <v>122873</v>
      </c>
    </row>
    <row r="19" spans="1:19" ht="16" thickBot="1">
      <c r="A19" s="99"/>
      <c r="B19" s="105" t="s">
        <v>249</v>
      </c>
      <c r="C19" s="106"/>
      <c r="D19" s="7"/>
      <c r="E19" s="7"/>
      <c r="F19" s="107"/>
      <c r="G19" s="107"/>
      <c r="H19" s="107"/>
      <c r="L19" s="108"/>
      <c r="M19" s="108"/>
      <c r="N19" s="108"/>
      <c r="O19" s="108"/>
      <c r="P19" s="108"/>
      <c r="Q19" s="108"/>
    </row>
    <row r="20" spans="1:19">
      <c r="L20" s="108"/>
      <c r="M20" s="108"/>
      <c r="N20" s="108"/>
      <c r="O20" s="108"/>
      <c r="P20" s="108"/>
      <c r="Q20" s="108"/>
    </row>
    <row r="21" spans="1:19">
      <c r="L21" s="108"/>
      <c r="M21" s="108"/>
      <c r="N21" s="108"/>
      <c r="O21" s="108"/>
      <c r="P21" s="108"/>
      <c r="Q21" s="108"/>
    </row>
    <row r="22" spans="1:19">
      <c r="A22" s="109"/>
      <c r="L22" s="108"/>
      <c r="M22" s="108"/>
      <c r="N22" s="108"/>
      <c r="O22" s="108"/>
      <c r="P22" s="108"/>
      <c r="Q22" s="108"/>
    </row>
    <row r="23" spans="1:19">
      <c r="A23" s="109"/>
      <c r="L23" s="108"/>
      <c r="M23" s="108"/>
      <c r="N23" s="108"/>
      <c r="O23" s="108"/>
      <c r="P23" s="108"/>
      <c r="Q23" s="108"/>
    </row>
    <row r="24" spans="1:19">
      <c r="L24" s="108"/>
      <c r="M24" s="108"/>
      <c r="N24" s="108"/>
      <c r="O24" s="108"/>
      <c r="P24" s="108"/>
      <c r="Q24" s="108"/>
    </row>
    <row r="25" spans="1:19">
      <c r="L25" s="108"/>
      <c r="M25" s="108"/>
      <c r="N25" s="108"/>
      <c r="O25" s="108"/>
      <c r="P25" s="108"/>
      <c r="Q25" s="108"/>
    </row>
    <row r="26" spans="1:19">
      <c r="L26" s="108"/>
      <c r="M26" s="108"/>
      <c r="N26" s="108"/>
      <c r="O26" s="108"/>
      <c r="P26" s="108"/>
      <c r="Q26" s="108"/>
    </row>
    <row r="27" spans="1:19">
      <c r="L27" s="108"/>
      <c r="M27" s="108"/>
      <c r="N27" s="108"/>
      <c r="O27" s="108"/>
      <c r="P27" s="108"/>
      <c r="Q27" s="108"/>
    </row>
    <row r="28" spans="1:19">
      <c r="L28" s="108"/>
      <c r="M28" s="108"/>
      <c r="N28" s="110"/>
      <c r="O28" s="108"/>
      <c r="P28" s="108"/>
      <c r="Q28" s="108"/>
      <c r="R28" s="108"/>
      <c r="S28" s="10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B41" sqref="B41"/>
    </sheetView>
  </sheetViews>
  <sheetFormatPr baseColWidth="10" defaultColWidth="10.83203125" defaultRowHeight="15" x14ac:dyDescent="0"/>
  <cols>
    <col min="1" max="1" width="1.83203125" style="224" customWidth="1"/>
    <col min="2" max="2" width="19.1640625" style="224" customWidth="1"/>
    <col min="3" max="3" width="12.6640625" style="224" customWidth="1"/>
    <col min="4" max="4" width="19.1640625" style="224" customWidth="1"/>
    <col min="5" max="5" width="11.5" style="224" customWidth="1"/>
    <col min="6" max="6" width="12.6640625" style="224" customWidth="1"/>
    <col min="7" max="7" width="13.6640625" style="224" customWidth="1"/>
    <col min="8" max="8" width="2.33203125" style="224" customWidth="1"/>
    <col min="9" max="9" width="10.33203125" style="224" customWidth="1"/>
    <col min="10" max="10" width="10.5" style="224" customWidth="1"/>
    <col min="11" max="11" width="7.5" style="224" customWidth="1"/>
    <col min="12" max="12" width="2.83203125" style="224" customWidth="1"/>
    <col min="13" max="13" width="10.1640625" style="225" customWidth="1"/>
    <col min="14" max="16384" width="10.83203125" style="224"/>
  </cols>
  <sheetData>
    <row r="1" spans="1:15" s="8" customFormat="1">
      <c r="A1" s="334" t="s">
        <v>256</v>
      </c>
      <c r="B1" s="335"/>
      <c r="C1" s="335"/>
      <c r="D1" s="335"/>
      <c r="E1" s="335"/>
      <c r="F1" s="335"/>
      <c r="G1" s="335"/>
      <c r="H1" s="335"/>
      <c r="I1" s="335"/>
      <c r="J1" s="335"/>
      <c r="M1" s="14"/>
    </row>
    <row r="2" spans="1:15" s="8" customFormat="1">
      <c r="A2" s="76"/>
      <c r="B2" s="76"/>
      <c r="C2" s="76"/>
      <c r="D2" s="77" t="s">
        <v>257</v>
      </c>
      <c r="E2" s="77" t="s">
        <v>258</v>
      </c>
      <c r="F2" s="77" t="s">
        <v>259</v>
      </c>
      <c r="G2" s="77" t="s">
        <v>260</v>
      </c>
      <c r="H2" s="78"/>
      <c r="I2" s="77" t="s">
        <v>261</v>
      </c>
      <c r="J2" s="77" t="s">
        <v>262</v>
      </c>
      <c r="K2" s="77" t="s">
        <v>354</v>
      </c>
      <c r="M2" s="14"/>
    </row>
    <row r="3" spans="1:15" s="8" customFormat="1">
      <c r="A3" s="79" t="s">
        <v>263</v>
      </c>
      <c r="B3" s="79"/>
      <c r="C3" s="79"/>
      <c r="D3" s="79"/>
      <c r="E3" s="79"/>
      <c r="F3" s="80"/>
      <c r="G3" s="80">
        <f>SUM(G4:G20)</f>
        <v>0</v>
      </c>
      <c r="H3" s="79"/>
      <c r="I3" s="80" t="s">
        <v>125</v>
      </c>
      <c r="J3" s="81" t="e">
        <f>G3/I3</f>
        <v>#VALUE!</v>
      </c>
      <c r="K3" s="84"/>
      <c r="M3" s="14"/>
    </row>
    <row r="4" spans="1:15" s="8" customFormat="1">
      <c r="A4" s="214"/>
      <c r="B4" s="8" t="s">
        <v>264</v>
      </c>
      <c r="C4" s="8" t="s">
        <v>265</v>
      </c>
      <c r="D4" s="9" t="s">
        <v>358</v>
      </c>
      <c r="E4" s="8" t="s">
        <v>353</v>
      </c>
      <c r="F4" s="12">
        <v>3000</v>
      </c>
      <c r="G4" s="10"/>
      <c r="H4" s="82"/>
      <c r="I4" s="10"/>
      <c r="J4" s="11"/>
      <c r="K4" s="215" t="s">
        <v>355</v>
      </c>
      <c r="N4" s="14"/>
      <c r="O4" s="14"/>
    </row>
    <row r="5" spans="1:15" s="8" customFormat="1">
      <c r="A5" s="214"/>
      <c r="B5" s="8" t="s">
        <v>266</v>
      </c>
      <c r="C5" s="8" t="s">
        <v>267</v>
      </c>
      <c r="D5" s="9" t="s">
        <v>268</v>
      </c>
      <c r="E5" s="9" t="s">
        <v>87</v>
      </c>
      <c r="F5" s="12">
        <v>3000</v>
      </c>
      <c r="G5" s="216"/>
      <c r="H5" s="12"/>
      <c r="I5" s="12"/>
      <c r="J5" s="13"/>
      <c r="N5" s="217"/>
      <c r="O5" s="14"/>
    </row>
    <row r="6" spans="1:15" s="8" customFormat="1">
      <c r="A6" s="214"/>
      <c r="B6" s="8" t="s">
        <v>269</v>
      </c>
      <c r="C6" s="8" t="s">
        <v>270</v>
      </c>
      <c r="D6" s="9" t="s">
        <v>268</v>
      </c>
      <c r="E6" s="8" t="s">
        <v>89</v>
      </c>
      <c r="F6" s="12">
        <v>2000</v>
      </c>
      <c r="G6" s="216"/>
      <c r="I6" s="12"/>
      <c r="J6" s="13"/>
      <c r="N6" s="217"/>
      <c r="O6" s="14"/>
    </row>
    <row r="7" spans="1:15" s="8" customFormat="1">
      <c r="A7" s="214"/>
      <c r="B7" s="8" t="s">
        <v>271</v>
      </c>
      <c r="C7" s="8" t="s">
        <v>356</v>
      </c>
      <c r="D7" s="9"/>
      <c r="F7" s="12">
        <v>10000</v>
      </c>
      <c r="G7" s="216"/>
      <c r="I7" s="12"/>
      <c r="J7" s="13"/>
      <c r="K7" s="8" t="s">
        <v>597</v>
      </c>
      <c r="N7" s="14"/>
      <c r="O7" s="14"/>
    </row>
    <row r="8" spans="1:15" s="8" customFormat="1">
      <c r="A8" s="214"/>
      <c r="B8" s="8" t="s">
        <v>272</v>
      </c>
      <c r="C8" s="8" t="s">
        <v>267</v>
      </c>
      <c r="D8" s="9" t="s">
        <v>265</v>
      </c>
      <c r="E8" s="9" t="s">
        <v>273</v>
      </c>
      <c r="F8" s="12" t="s">
        <v>265</v>
      </c>
      <c r="G8" s="216"/>
      <c r="H8" s="12"/>
      <c r="I8" s="12"/>
      <c r="J8" s="13"/>
      <c r="K8" s="8" t="s">
        <v>357</v>
      </c>
      <c r="N8" s="217"/>
      <c r="O8" s="14"/>
    </row>
    <row r="9" spans="1:15" s="8" customFormat="1">
      <c r="A9" s="214"/>
      <c r="B9" s="8" t="s">
        <v>274</v>
      </c>
      <c r="C9" s="8" t="s">
        <v>267</v>
      </c>
      <c r="D9" s="9" t="s">
        <v>275</v>
      </c>
      <c r="E9" s="9" t="s">
        <v>93</v>
      </c>
      <c r="F9" s="12">
        <v>30000</v>
      </c>
      <c r="G9" s="14"/>
      <c r="H9" s="12"/>
      <c r="I9" s="12"/>
      <c r="J9" s="13"/>
      <c r="N9" s="14"/>
      <c r="O9" s="14"/>
    </row>
    <row r="10" spans="1:15" s="8" customFormat="1">
      <c r="A10" s="214"/>
      <c r="B10" s="8" t="s">
        <v>276</v>
      </c>
      <c r="C10" s="8" t="s">
        <v>267</v>
      </c>
      <c r="D10" s="9" t="s">
        <v>277</v>
      </c>
      <c r="E10" s="9" t="s">
        <v>92</v>
      </c>
      <c r="F10" s="12">
        <v>30000</v>
      </c>
      <c r="G10" s="14"/>
      <c r="H10" s="12"/>
      <c r="I10" s="12"/>
      <c r="J10" s="13"/>
      <c r="N10" s="14"/>
      <c r="O10" s="14"/>
    </row>
    <row r="11" spans="1:15" s="8" customFormat="1">
      <c r="A11" s="214"/>
      <c r="B11" s="8" t="s">
        <v>278</v>
      </c>
      <c r="C11" s="8" t="s">
        <v>267</v>
      </c>
      <c r="D11" s="9" t="s">
        <v>279</v>
      </c>
      <c r="E11" s="9" t="s">
        <v>92</v>
      </c>
      <c r="F11" s="12">
        <v>5000</v>
      </c>
      <c r="G11" s="14"/>
      <c r="H11" s="12"/>
      <c r="I11" s="12"/>
      <c r="J11" s="12"/>
      <c r="K11" s="8" t="s">
        <v>359</v>
      </c>
      <c r="N11" s="14"/>
      <c r="O11" s="14"/>
    </row>
    <row r="12" spans="1:15" s="8" customFormat="1">
      <c r="A12" s="214"/>
      <c r="B12" s="8" t="s">
        <v>280</v>
      </c>
      <c r="C12" s="8" t="s">
        <v>267</v>
      </c>
      <c r="D12" s="9" t="s">
        <v>279</v>
      </c>
      <c r="E12" s="9" t="s">
        <v>353</v>
      </c>
      <c r="F12" s="12">
        <v>3000</v>
      </c>
      <c r="G12" s="14"/>
      <c r="H12" s="12"/>
      <c r="I12" s="12"/>
      <c r="J12" s="13"/>
      <c r="N12" s="14"/>
      <c r="O12" s="14"/>
    </row>
    <row r="13" spans="1:15" s="8" customFormat="1">
      <c r="B13" s="8" t="s">
        <v>281</v>
      </c>
      <c r="C13" s="8" t="s">
        <v>267</v>
      </c>
      <c r="D13" s="9" t="s">
        <v>91</v>
      </c>
      <c r="E13" s="9" t="s">
        <v>92</v>
      </c>
      <c r="F13" s="12">
        <v>14000</v>
      </c>
      <c r="G13" s="14"/>
      <c r="H13" s="12"/>
      <c r="I13" s="12"/>
      <c r="J13" s="12"/>
      <c r="N13" s="14"/>
      <c r="O13" s="14"/>
    </row>
    <row r="14" spans="1:15" s="8" customFormat="1">
      <c r="B14" s="8" t="s">
        <v>282</v>
      </c>
      <c r="C14" s="8" t="s">
        <v>267</v>
      </c>
      <c r="D14" s="9" t="s">
        <v>283</v>
      </c>
      <c r="E14" s="9" t="s">
        <v>284</v>
      </c>
      <c r="F14" s="12">
        <v>7000</v>
      </c>
      <c r="G14" s="14"/>
      <c r="H14" s="12"/>
      <c r="I14" s="12"/>
      <c r="J14" s="12"/>
      <c r="N14" s="14"/>
      <c r="O14" s="14"/>
    </row>
    <row r="15" spans="1:15" s="8" customFormat="1">
      <c r="B15" s="8" t="s">
        <v>360</v>
      </c>
      <c r="C15" s="8" t="s">
        <v>77</v>
      </c>
      <c r="D15" s="9" t="s">
        <v>361</v>
      </c>
      <c r="E15" s="9"/>
      <c r="F15" s="12">
        <v>2500</v>
      </c>
      <c r="G15" s="14"/>
      <c r="H15" s="12"/>
      <c r="I15" s="12"/>
      <c r="J15" s="12"/>
      <c r="K15" s="8" t="s">
        <v>362</v>
      </c>
      <c r="N15" s="14"/>
      <c r="O15" s="14"/>
    </row>
    <row r="16" spans="1:15" s="8" customFormat="1">
      <c r="D16" s="9"/>
      <c r="E16" s="9"/>
      <c r="F16" s="12"/>
      <c r="G16" s="14"/>
      <c r="H16" s="12"/>
      <c r="I16" s="12"/>
      <c r="J16" s="12"/>
      <c r="N16" s="14"/>
      <c r="O16" s="14"/>
    </row>
    <row r="17" spans="1:13" s="8" customFormat="1">
      <c r="D17" s="9"/>
      <c r="E17" s="9"/>
      <c r="F17" s="12"/>
      <c r="G17" s="12"/>
      <c r="H17" s="12"/>
      <c r="I17" s="12"/>
      <c r="J17" s="12"/>
      <c r="M17" s="14"/>
    </row>
    <row r="18" spans="1:13" s="8" customFormat="1">
      <c r="B18" s="8" t="s">
        <v>285</v>
      </c>
      <c r="D18" s="9" t="s">
        <v>286</v>
      </c>
      <c r="E18" s="9"/>
      <c r="F18" s="12"/>
      <c r="G18" s="12"/>
      <c r="H18" s="12"/>
      <c r="I18" s="12"/>
      <c r="J18" s="12"/>
      <c r="M18" s="14"/>
    </row>
    <row r="19" spans="1:13" s="8" customFormat="1">
      <c r="B19" s="8" t="s">
        <v>287</v>
      </c>
      <c r="D19" s="9" t="s">
        <v>288</v>
      </c>
      <c r="E19" s="9"/>
      <c r="F19" s="12"/>
      <c r="G19" s="12"/>
      <c r="H19" s="12"/>
      <c r="I19" s="12"/>
      <c r="J19" s="13"/>
      <c r="M19" s="14"/>
    </row>
    <row r="20" spans="1:13" s="8" customFormat="1">
      <c r="B20" s="8" t="s">
        <v>289</v>
      </c>
      <c r="D20" s="9"/>
      <c r="E20" s="9"/>
      <c r="F20" s="12"/>
      <c r="G20" s="12"/>
      <c r="H20" s="12"/>
      <c r="J20" s="13"/>
      <c r="M20" s="14"/>
    </row>
    <row r="21" spans="1:13" s="8" customFormat="1">
      <c r="B21" s="8" t="s">
        <v>290</v>
      </c>
      <c r="D21" s="9" t="s">
        <v>291</v>
      </c>
      <c r="E21" s="9"/>
      <c r="F21" s="12"/>
      <c r="G21" s="12"/>
      <c r="H21" s="12"/>
      <c r="J21" s="13"/>
      <c r="M21" s="14"/>
    </row>
    <row r="22" spans="1:13" s="8" customFormat="1">
      <c r="B22" s="8" t="s">
        <v>292</v>
      </c>
      <c r="D22" s="9" t="s">
        <v>293</v>
      </c>
      <c r="E22" s="9"/>
      <c r="F22" s="12"/>
      <c r="G22" s="12"/>
      <c r="H22" s="12"/>
      <c r="J22" s="13"/>
      <c r="M22" s="14"/>
    </row>
    <row r="23" spans="1:13" s="8" customFormat="1">
      <c r="B23" s="8" t="s">
        <v>294</v>
      </c>
      <c r="D23" s="9" t="s">
        <v>217</v>
      </c>
      <c r="E23" s="9" t="s">
        <v>295</v>
      </c>
      <c r="F23" s="12"/>
      <c r="G23" s="12" t="s">
        <v>296</v>
      </c>
      <c r="H23" s="12"/>
      <c r="J23" s="13"/>
      <c r="M23" s="14"/>
    </row>
    <row r="24" spans="1:13" s="8" customFormat="1">
      <c r="B24" s="8" t="s">
        <v>297</v>
      </c>
      <c r="D24" s="9"/>
      <c r="E24" s="9"/>
      <c r="F24" s="12"/>
      <c r="G24" s="12"/>
      <c r="H24" s="12"/>
      <c r="J24" s="13"/>
      <c r="M24" s="14"/>
    </row>
    <row r="25" spans="1:13" s="8" customFormat="1">
      <c r="B25" s="8" t="s">
        <v>298</v>
      </c>
      <c r="D25" s="9"/>
      <c r="E25" s="9"/>
      <c r="F25" s="12"/>
      <c r="G25" s="12"/>
      <c r="H25" s="12"/>
      <c r="J25" s="13"/>
      <c r="M25" s="14"/>
    </row>
    <row r="26" spans="1:13" s="8" customFormat="1">
      <c r="B26" s="8" t="s">
        <v>299</v>
      </c>
      <c r="D26" s="9"/>
      <c r="E26" s="9"/>
      <c r="F26" s="12"/>
      <c r="G26" s="12"/>
      <c r="H26" s="12"/>
      <c r="J26" s="13"/>
      <c r="M26" s="14"/>
    </row>
    <row r="27" spans="1:13" s="8" customFormat="1">
      <c r="B27" s="8" t="s">
        <v>300</v>
      </c>
      <c r="C27" s="8" t="s">
        <v>301</v>
      </c>
      <c r="D27" s="9" t="s">
        <v>302</v>
      </c>
      <c r="E27" s="9" t="s">
        <v>303</v>
      </c>
      <c r="F27" s="12" t="s">
        <v>304</v>
      </c>
      <c r="G27" s="12"/>
      <c r="H27" s="12"/>
      <c r="I27" s="12"/>
      <c r="J27" s="13"/>
      <c r="M27" s="14"/>
    </row>
    <row r="28" spans="1:13" s="8" customFormat="1">
      <c r="D28" s="9"/>
      <c r="E28" s="9"/>
      <c r="F28" s="12"/>
      <c r="G28" s="12"/>
      <c r="H28" s="12"/>
      <c r="I28" s="12"/>
      <c r="J28" s="13"/>
      <c r="M28" s="14"/>
    </row>
    <row r="29" spans="1:13" s="8" customFormat="1">
      <c r="D29" s="9"/>
      <c r="E29" s="9"/>
      <c r="F29" s="12"/>
      <c r="G29" s="12"/>
      <c r="H29" s="12"/>
      <c r="I29" s="12"/>
      <c r="J29" s="13"/>
      <c r="M29" s="14"/>
    </row>
    <row r="30" spans="1:13" s="8" customFormat="1">
      <c r="D30" s="9"/>
      <c r="E30" s="9"/>
      <c r="F30" s="12"/>
      <c r="G30" s="12"/>
      <c r="H30" s="12"/>
      <c r="I30" s="12"/>
      <c r="J30" s="13"/>
      <c r="M30" s="14"/>
    </row>
    <row r="31" spans="1:13" s="8" customFormat="1">
      <c r="C31" s="76"/>
      <c r="D31" s="76"/>
      <c r="E31" s="76"/>
      <c r="F31" s="76"/>
      <c r="G31" s="76"/>
      <c r="H31" s="12"/>
      <c r="I31" s="218"/>
      <c r="J31" s="83"/>
      <c r="M31" s="14"/>
    </row>
    <row r="32" spans="1:13" s="8" customFormat="1">
      <c r="A32" s="79" t="s">
        <v>305</v>
      </c>
      <c r="B32" s="84"/>
      <c r="C32" s="85"/>
      <c r="D32" s="85"/>
      <c r="E32" s="80"/>
      <c r="F32" s="84"/>
      <c r="G32" s="80">
        <f>SUM(G33:G37)</f>
        <v>20000</v>
      </c>
      <c r="H32" s="80">
        <v>156036</v>
      </c>
      <c r="I32" s="86" t="s">
        <v>125</v>
      </c>
      <c r="J32" s="219" t="e">
        <f>G32/I32</f>
        <v>#VALUE!</v>
      </c>
      <c r="K32" s="84"/>
      <c r="M32" s="14"/>
    </row>
    <row r="33" spans="1:13" s="8" customFormat="1">
      <c r="B33" s="8" t="s">
        <v>306</v>
      </c>
      <c r="C33" s="9" t="s">
        <v>95</v>
      </c>
      <c r="D33" s="9" t="s">
        <v>307</v>
      </c>
      <c r="E33" s="9" t="s">
        <v>84</v>
      </c>
      <c r="F33" s="14">
        <v>40000</v>
      </c>
      <c r="G33" s="12">
        <v>0</v>
      </c>
      <c r="H33" s="12"/>
      <c r="I33" s="13"/>
      <c r="M33" s="14"/>
    </row>
    <row r="34" spans="1:13" s="8" customFormat="1">
      <c r="B34" s="8" t="s">
        <v>308</v>
      </c>
      <c r="C34" s="9" t="s">
        <v>309</v>
      </c>
      <c r="D34" s="9" t="s">
        <v>310</v>
      </c>
      <c r="E34" s="9" t="s">
        <v>86</v>
      </c>
      <c r="F34" s="14">
        <v>60000</v>
      </c>
      <c r="G34" s="12"/>
      <c r="H34" s="12"/>
      <c r="I34" s="13"/>
      <c r="M34" s="14"/>
    </row>
    <row r="35" spans="1:13" s="8" customFormat="1">
      <c r="B35" s="8" t="s">
        <v>311</v>
      </c>
      <c r="C35" s="9" t="s">
        <v>312</v>
      </c>
      <c r="D35" s="9" t="s">
        <v>313</v>
      </c>
      <c r="E35" s="9" t="s">
        <v>314</v>
      </c>
      <c r="F35" s="87">
        <v>74714</v>
      </c>
      <c r="G35" s="12"/>
      <c r="H35" s="12"/>
      <c r="I35" s="15"/>
      <c r="M35" s="14"/>
    </row>
    <row r="36" spans="1:13" s="8" customFormat="1">
      <c r="B36" s="8" t="s">
        <v>315</v>
      </c>
      <c r="C36" s="9"/>
      <c r="D36" s="9"/>
      <c r="E36" s="9"/>
      <c r="F36" s="87">
        <v>1432</v>
      </c>
      <c r="G36" s="12"/>
      <c r="H36" s="12"/>
      <c r="I36" s="15"/>
      <c r="M36" s="14"/>
    </row>
    <row r="37" spans="1:13" s="8" customFormat="1">
      <c r="B37" s="8" t="s">
        <v>316</v>
      </c>
      <c r="C37" s="9" t="s">
        <v>309</v>
      </c>
      <c r="D37" s="9" t="s">
        <v>317</v>
      </c>
      <c r="E37" s="9" t="s">
        <v>418</v>
      </c>
      <c r="F37" s="14">
        <v>30000</v>
      </c>
      <c r="G37" s="12">
        <v>20000</v>
      </c>
      <c r="H37" s="12"/>
      <c r="I37" s="13"/>
      <c r="M37" s="14"/>
    </row>
    <row r="38" spans="1:13" s="8" customFormat="1">
      <c r="C38" s="9"/>
      <c r="D38" s="9"/>
      <c r="E38" s="9"/>
      <c r="F38" s="12"/>
      <c r="G38" s="12">
        <f>SUM(F33:F37)</f>
        <v>206146</v>
      </c>
      <c r="H38" s="12"/>
      <c r="I38" s="13"/>
      <c r="M38" s="14"/>
    </row>
    <row r="39" spans="1:13" s="8" customFormat="1">
      <c r="C39" s="9"/>
      <c r="D39" s="9"/>
      <c r="E39" s="9"/>
      <c r="F39" s="12"/>
      <c r="G39" s="12"/>
      <c r="H39" s="12"/>
      <c r="I39" s="13"/>
      <c r="M39" s="14"/>
    </row>
    <row r="40" spans="1:13" s="214" customFormat="1">
      <c r="A40" s="79" t="s">
        <v>318</v>
      </c>
      <c r="B40" s="79"/>
      <c r="C40" s="85"/>
      <c r="D40" s="85"/>
      <c r="E40" s="80"/>
      <c r="F40" s="84"/>
      <c r="G40" s="80">
        <f>SUM(G42:G51)</f>
        <v>0</v>
      </c>
      <c r="H40" s="80"/>
      <c r="I40" s="86" t="s">
        <v>125</v>
      </c>
      <c r="J40" s="219" t="e">
        <f>G40/I40</f>
        <v>#VALUE!</v>
      </c>
      <c r="K40" s="84"/>
      <c r="M40" s="216"/>
    </row>
    <row r="41" spans="1:13" s="8" customFormat="1">
      <c r="B41" s="8" t="s">
        <v>319</v>
      </c>
      <c r="C41" s="9" t="s">
        <v>320</v>
      </c>
      <c r="D41" s="9" t="s">
        <v>321</v>
      </c>
      <c r="E41" s="12" t="s">
        <v>322</v>
      </c>
      <c r="F41" s="12"/>
      <c r="G41" s="14"/>
      <c r="H41" s="12"/>
      <c r="I41" s="88"/>
      <c r="J41" s="220"/>
      <c r="M41" s="14"/>
    </row>
    <row r="42" spans="1:13" s="8" customFormat="1">
      <c r="B42" s="8" t="s">
        <v>323</v>
      </c>
      <c r="C42" s="8" t="s">
        <v>324</v>
      </c>
      <c r="D42" s="9" t="s">
        <v>325</v>
      </c>
      <c r="E42" s="8" t="s">
        <v>326</v>
      </c>
      <c r="F42" s="14"/>
      <c r="G42" s="14"/>
      <c r="H42" s="12"/>
      <c r="I42" s="221"/>
      <c r="J42" s="221"/>
      <c r="M42" s="14"/>
    </row>
    <row r="43" spans="1:13" s="8" customFormat="1">
      <c r="B43" s="8" t="s">
        <v>327</v>
      </c>
      <c r="D43" s="9" t="s">
        <v>328</v>
      </c>
      <c r="E43" s="9" t="s">
        <v>88</v>
      </c>
      <c r="F43" s="12"/>
      <c r="G43" s="14"/>
      <c r="H43" s="12"/>
      <c r="I43" s="12"/>
      <c r="J43" s="13"/>
      <c r="M43" s="14"/>
    </row>
    <row r="44" spans="1:13" s="8" customFormat="1">
      <c r="B44" s="8" t="s">
        <v>329</v>
      </c>
      <c r="C44" s="8" t="s">
        <v>330</v>
      </c>
      <c r="D44" s="9" t="s">
        <v>293</v>
      </c>
      <c r="E44" s="9" t="s">
        <v>331</v>
      </c>
      <c r="F44" s="89"/>
      <c r="G44" s="14"/>
      <c r="H44" s="12"/>
      <c r="M44" s="14"/>
    </row>
    <row r="45" spans="1:13" s="8" customFormat="1">
      <c r="B45" s="8" t="s">
        <v>332</v>
      </c>
      <c r="C45" s="8" t="s">
        <v>333</v>
      </c>
      <c r="D45" s="9" t="s">
        <v>334</v>
      </c>
      <c r="F45" s="221"/>
      <c r="G45" s="14"/>
      <c r="H45" s="12"/>
      <c r="I45" s="221"/>
      <c r="J45" s="221"/>
      <c r="M45" s="14"/>
    </row>
    <row r="46" spans="1:13" s="8" customFormat="1">
      <c r="B46" s="8" t="s">
        <v>335</v>
      </c>
      <c r="C46" s="222" t="s">
        <v>333</v>
      </c>
      <c r="D46" s="9" t="s">
        <v>336</v>
      </c>
      <c r="E46" s="222">
        <v>42460</v>
      </c>
      <c r="F46" s="14">
        <v>5000</v>
      </c>
      <c r="G46" s="14"/>
      <c r="H46" s="12"/>
      <c r="I46" s="221"/>
      <c r="J46" s="221"/>
      <c r="M46" s="14"/>
    </row>
    <row r="47" spans="1:13" s="8" customFormat="1">
      <c r="B47" s="8" t="s">
        <v>337</v>
      </c>
      <c r="C47" s="8" t="s">
        <v>112</v>
      </c>
      <c r="D47" s="9" t="s">
        <v>338</v>
      </c>
      <c r="E47" s="8" t="s">
        <v>84</v>
      </c>
      <c r="F47" s="14">
        <v>10000</v>
      </c>
      <c r="G47" s="14"/>
      <c r="H47" s="12"/>
      <c r="I47" s="221"/>
      <c r="J47" s="221"/>
      <c r="M47" s="14"/>
    </row>
    <row r="48" spans="1:13" s="8" customFormat="1">
      <c r="B48" s="8" t="s">
        <v>339</v>
      </c>
      <c r="C48" s="8" t="s">
        <v>340</v>
      </c>
      <c r="D48" s="9" t="s">
        <v>341</v>
      </c>
      <c r="G48" s="14"/>
      <c r="H48" s="12"/>
      <c r="M48" s="14"/>
    </row>
    <row r="49" spans="2:13" s="8" customFormat="1">
      <c r="B49" s="8" t="s">
        <v>342</v>
      </c>
      <c r="D49" s="9"/>
      <c r="F49" s="14"/>
      <c r="G49" s="14"/>
      <c r="H49" s="12"/>
      <c r="M49" s="14"/>
    </row>
    <row r="50" spans="2:13" s="8" customFormat="1">
      <c r="B50" s="8" t="s">
        <v>343</v>
      </c>
      <c r="D50" s="9"/>
      <c r="F50" s="14"/>
      <c r="G50" s="14"/>
      <c r="H50" s="12"/>
      <c r="M50" s="14"/>
    </row>
    <row r="51" spans="2:13" s="8" customFormat="1">
      <c r="B51" s="8" t="s">
        <v>344</v>
      </c>
      <c r="C51" s="8" t="s">
        <v>345</v>
      </c>
      <c r="D51" s="9" t="s">
        <v>346</v>
      </c>
      <c r="E51" s="9" t="s">
        <v>347</v>
      </c>
      <c r="F51" s="12"/>
      <c r="G51" s="12"/>
      <c r="H51" s="12"/>
      <c r="I51" s="12"/>
      <c r="J51" s="13"/>
      <c r="M51" s="14"/>
    </row>
    <row r="52" spans="2:13" s="8" customFormat="1">
      <c r="M52" s="14"/>
    </row>
    <row r="53" spans="2:13" s="8" customFormat="1">
      <c r="B53" s="214" t="s">
        <v>348</v>
      </c>
      <c r="C53" s="223">
        <v>42019</v>
      </c>
      <c r="D53" s="214" t="s">
        <v>349</v>
      </c>
      <c r="E53" s="214"/>
      <c r="M53" s="14"/>
    </row>
    <row r="54" spans="2:13" s="8" customFormat="1">
      <c r="B54" s="214" t="s">
        <v>350</v>
      </c>
      <c r="C54" s="214"/>
      <c r="D54" s="214" t="s">
        <v>351</v>
      </c>
      <c r="E54" s="214"/>
      <c r="M54" s="14"/>
    </row>
    <row r="55" spans="2:13" s="8" customFormat="1">
      <c r="M55" s="14"/>
    </row>
    <row r="56" spans="2:13" s="8" customFormat="1">
      <c r="M56" s="14"/>
    </row>
    <row r="57" spans="2:13" s="8" customFormat="1">
      <c r="M57" s="14"/>
    </row>
    <row r="58" spans="2:13" s="8" customFormat="1">
      <c r="B58" s="8" t="s">
        <v>352</v>
      </c>
      <c r="M58" s="14"/>
    </row>
  </sheetData>
  <mergeCells count="1">
    <mergeCell ref="A1:J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1" topLeftCell="A2" activePane="bottomLeft" state="frozenSplit"/>
      <selection pane="bottomLeft" activeCell="G30" sqref="G30"/>
    </sheetView>
  </sheetViews>
  <sheetFormatPr baseColWidth="10" defaultColWidth="11" defaultRowHeight="15" x14ac:dyDescent="0"/>
  <cols>
    <col min="1" max="1" width="20.83203125" style="91" bestFit="1" customWidth="1"/>
    <col min="2" max="2" width="13.6640625" style="91" bestFit="1" customWidth="1"/>
    <col min="3" max="3" width="6.5" style="91" bestFit="1" customWidth="1"/>
    <col min="4" max="5" width="11" style="94"/>
    <col min="6" max="6" width="12.5" style="58" bestFit="1" customWidth="1"/>
    <col min="7" max="7" width="12.5" style="94" customWidth="1"/>
    <col min="8" max="8" width="11" style="91"/>
    <col min="9" max="9" width="16.1640625" style="91" customWidth="1"/>
    <col min="10" max="10" width="17.5" style="94" bestFit="1" customWidth="1"/>
    <col min="11" max="11" width="11" style="58"/>
    <col min="12" max="12" width="15.33203125" style="91" bestFit="1" customWidth="1"/>
    <col min="13" max="16384" width="11" style="91"/>
  </cols>
  <sheetData>
    <row r="1" spans="1:13" ht="16" thickBot="1">
      <c r="A1" s="4" t="s">
        <v>127</v>
      </c>
      <c r="B1" s="4" t="s">
        <v>128</v>
      </c>
      <c r="C1" s="4" t="s">
        <v>129</v>
      </c>
      <c r="D1" s="44" t="s">
        <v>419</v>
      </c>
      <c r="E1" s="44" t="s">
        <v>420</v>
      </c>
      <c r="F1" s="4" t="s">
        <v>421</v>
      </c>
      <c r="G1" s="45" t="s">
        <v>422</v>
      </c>
      <c r="H1" s="46" t="s">
        <v>423</v>
      </c>
      <c r="I1" s="46" t="s">
        <v>424</v>
      </c>
      <c r="J1" s="47" t="s">
        <v>425</v>
      </c>
      <c r="K1" s="46" t="s">
        <v>354</v>
      </c>
      <c r="L1" s="226"/>
      <c r="M1" s="226"/>
    </row>
    <row r="2" spans="1:13">
      <c r="A2" s="92"/>
      <c r="B2" s="92"/>
      <c r="C2" s="92"/>
      <c r="F2" s="48"/>
      <c r="G2" s="227"/>
      <c r="H2" s="92"/>
      <c r="I2" s="92"/>
      <c r="J2" s="227"/>
      <c r="K2" s="49" t="s">
        <v>426</v>
      </c>
      <c r="L2" s="228" t="s">
        <v>427</v>
      </c>
      <c r="M2" s="92"/>
    </row>
    <row r="3" spans="1:13">
      <c r="A3" s="92"/>
      <c r="B3" s="92"/>
      <c r="C3" s="92"/>
      <c r="F3" s="48"/>
      <c r="G3" s="227"/>
      <c r="H3" s="92"/>
      <c r="I3" s="92"/>
      <c r="J3" s="227"/>
      <c r="K3" s="50" t="s">
        <v>428</v>
      </c>
      <c r="L3" s="229" t="s">
        <v>429</v>
      </c>
      <c r="M3" s="118"/>
    </row>
    <row r="4" spans="1:13">
      <c r="A4" s="230"/>
      <c r="B4" s="92"/>
      <c r="C4" s="92"/>
      <c r="F4" s="48"/>
      <c r="G4" s="227"/>
      <c r="H4" s="92"/>
      <c r="I4" s="92"/>
      <c r="J4" s="227"/>
      <c r="K4" s="50" t="s">
        <v>430</v>
      </c>
      <c r="L4" s="229" t="s">
        <v>431</v>
      </c>
      <c r="M4" s="118"/>
    </row>
    <row r="5" spans="1:13">
      <c r="A5" s="92"/>
      <c r="B5" s="92"/>
      <c r="C5" s="92"/>
      <c r="F5" s="48"/>
      <c r="G5" s="227"/>
      <c r="H5" s="92"/>
      <c r="I5" s="92"/>
      <c r="J5" s="227"/>
      <c r="K5" s="50" t="s">
        <v>432</v>
      </c>
      <c r="L5" s="229" t="s">
        <v>433</v>
      </c>
      <c r="M5" s="118"/>
    </row>
    <row r="6" spans="1:13">
      <c r="A6" s="231"/>
      <c r="B6" s="231" t="s">
        <v>434</v>
      </c>
      <c r="C6" s="231" t="s">
        <v>435</v>
      </c>
      <c r="D6" s="232">
        <v>3200</v>
      </c>
      <c r="E6" s="232">
        <v>600</v>
      </c>
      <c r="F6" s="51" t="s">
        <v>143</v>
      </c>
      <c r="G6" s="233"/>
      <c r="H6" s="231"/>
      <c r="I6" s="231">
        <v>3</v>
      </c>
      <c r="J6" s="233">
        <v>1224</v>
      </c>
      <c r="K6" s="52"/>
      <c r="L6" s="234"/>
      <c r="M6" s="235"/>
    </row>
    <row r="7" spans="1:13">
      <c r="A7" s="92"/>
      <c r="B7" s="92"/>
      <c r="C7" s="92"/>
      <c r="F7" s="48"/>
      <c r="G7" s="227"/>
      <c r="H7" s="92"/>
      <c r="I7" s="92"/>
      <c r="J7" s="227"/>
      <c r="K7" s="53"/>
      <c r="L7" s="118"/>
      <c r="M7" s="118"/>
    </row>
    <row r="8" spans="1:13">
      <c r="A8" s="236" t="s">
        <v>138</v>
      </c>
      <c r="B8" s="236" t="s">
        <v>367</v>
      </c>
      <c r="C8" s="236"/>
      <c r="D8" s="54"/>
      <c r="E8" s="54">
        <v>400</v>
      </c>
      <c r="F8" s="55" t="s">
        <v>136</v>
      </c>
      <c r="G8" s="237"/>
      <c r="H8" s="236"/>
      <c r="I8" s="236">
        <v>2</v>
      </c>
      <c r="J8" s="237">
        <v>816</v>
      </c>
      <c r="K8" s="55"/>
      <c r="L8" s="236"/>
      <c r="M8" s="236"/>
    </row>
    <row r="9" spans="1:13">
      <c r="A9" s="92"/>
      <c r="B9" s="92"/>
      <c r="C9" s="92"/>
      <c r="F9" s="48"/>
      <c r="G9" s="227"/>
      <c r="H9" s="92"/>
      <c r="I9" s="92"/>
      <c r="J9" s="227"/>
      <c r="K9" s="48"/>
      <c r="L9" s="92"/>
      <c r="M9" s="92"/>
    </row>
    <row r="10" spans="1:13">
      <c r="A10" s="231" t="s">
        <v>140</v>
      </c>
      <c r="B10" s="231" t="s">
        <v>141</v>
      </c>
      <c r="C10" s="231" t="s">
        <v>142</v>
      </c>
      <c r="D10" s="232">
        <v>1600</v>
      </c>
      <c r="E10" s="56">
        <v>1400</v>
      </c>
      <c r="F10" s="51" t="s">
        <v>143</v>
      </c>
      <c r="G10" s="233"/>
      <c r="H10" s="231"/>
      <c r="I10" s="231">
        <v>7</v>
      </c>
      <c r="J10" s="233">
        <v>2856</v>
      </c>
      <c r="K10" s="51"/>
      <c r="L10" s="231"/>
      <c r="M10" s="231"/>
    </row>
    <row r="11" spans="1:13">
      <c r="A11" s="231" t="s">
        <v>144</v>
      </c>
      <c r="B11" s="231" t="s">
        <v>145</v>
      </c>
      <c r="C11" s="231" t="s">
        <v>146</v>
      </c>
      <c r="D11" s="56"/>
      <c r="E11" s="56"/>
      <c r="F11" s="51" t="s">
        <v>217</v>
      </c>
      <c r="G11" s="233">
        <v>1200</v>
      </c>
      <c r="H11" s="231"/>
      <c r="I11" s="231"/>
      <c r="J11" s="233"/>
      <c r="K11" s="51"/>
      <c r="L11" s="231"/>
      <c r="M11" s="231"/>
    </row>
    <row r="12" spans="1:13">
      <c r="A12" s="231" t="s">
        <v>153</v>
      </c>
      <c r="B12" s="231" t="s">
        <v>436</v>
      </c>
      <c r="C12" s="231" t="s">
        <v>155</v>
      </c>
      <c r="D12" s="56"/>
      <c r="E12" s="56"/>
      <c r="F12" s="51" t="s">
        <v>217</v>
      </c>
      <c r="G12" s="233">
        <v>500</v>
      </c>
      <c r="H12" s="231"/>
      <c r="I12" s="231"/>
      <c r="J12" s="233"/>
      <c r="K12" s="51"/>
      <c r="L12" s="231"/>
      <c r="M12" s="231"/>
    </row>
    <row r="13" spans="1:13">
      <c r="A13" s="231"/>
      <c r="B13" s="231" t="s">
        <v>149</v>
      </c>
      <c r="C13" s="231" t="s">
        <v>150</v>
      </c>
      <c r="D13" s="56"/>
      <c r="E13" s="56"/>
      <c r="F13" s="51" t="s">
        <v>217</v>
      </c>
      <c r="G13" s="233">
        <v>500</v>
      </c>
      <c r="H13" s="238"/>
      <c r="I13" s="238"/>
      <c r="J13" s="239"/>
      <c r="K13" s="57"/>
      <c r="L13" s="238"/>
      <c r="M13" s="238"/>
    </row>
    <row r="14" spans="1:13">
      <c r="A14" s="92"/>
      <c r="B14" s="92"/>
      <c r="C14" s="92"/>
      <c r="F14" s="48"/>
      <c r="G14" s="227"/>
      <c r="H14" s="92"/>
      <c r="I14" s="92"/>
      <c r="J14" s="227"/>
      <c r="K14" s="48"/>
      <c r="L14" s="92"/>
      <c r="M14" s="92"/>
    </row>
    <row r="15" spans="1:13">
      <c r="A15" s="92"/>
      <c r="B15" s="92"/>
      <c r="C15" s="92"/>
      <c r="F15" s="48"/>
      <c r="G15" s="227"/>
      <c r="H15" s="92"/>
      <c r="I15" s="92"/>
      <c r="J15" s="227"/>
      <c r="K15" s="48"/>
      <c r="L15" s="92"/>
      <c r="M15" s="92"/>
    </row>
    <row r="16" spans="1:13">
      <c r="A16" s="92"/>
      <c r="B16" s="92"/>
      <c r="C16" s="92"/>
      <c r="F16" s="48"/>
      <c r="G16" s="227"/>
      <c r="H16" s="92"/>
      <c r="I16" s="92"/>
      <c r="J16" s="227"/>
      <c r="K16" s="48"/>
      <c r="L16" s="92"/>
      <c r="M16" s="92"/>
    </row>
    <row r="17" spans="1:13">
      <c r="A17" s="92"/>
      <c r="B17" s="92"/>
      <c r="C17" s="92"/>
      <c r="F17" s="48"/>
      <c r="G17" s="227"/>
      <c r="H17" s="92"/>
      <c r="I17" s="92"/>
      <c r="J17" s="227"/>
      <c r="K17" s="48"/>
      <c r="L17" s="92"/>
      <c r="M17" s="92"/>
    </row>
    <row r="18" spans="1:13">
      <c r="A18" s="236"/>
      <c r="B18" s="236" t="s">
        <v>158</v>
      </c>
      <c r="C18" s="236" t="s">
        <v>159</v>
      </c>
      <c r="D18" s="240">
        <v>1600</v>
      </c>
      <c r="E18" s="240">
        <v>600</v>
      </c>
      <c r="F18" s="55" t="s">
        <v>217</v>
      </c>
      <c r="G18" s="237">
        <v>500</v>
      </c>
      <c r="H18" s="236"/>
      <c r="I18" s="236">
        <v>5</v>
      </c>
      <c r="J18" s="237">
        <v>2040</v>
      </c>
      <c r="K18" s="55"/>
      <c r="L18" s="236"/>
      <c r="M18" s="236"/>
    </row>
    <row r="19" spans="1:13">
      <c r="A19" s="236" t="s">
        <v>161</v>
      </c>
      <c r="B19" s="236" t="s">
        <v>162</v>
      </c>
      <c r="C19" s="236" t="s">
        <v>159</v>
      </c>
      <c r="D19" s="240"/>
      <c r="E19" s="240"/>
      <c r="F19" s="55" t="s">
        <v>136</v>
      </c>
      <c r="G19" s="237"/>
      <c r="H19" s="236"/>
      <c r="I19" s="236"/>
      <c r="J19" s="237"/>
      <c r="K19" s="55"/>
      <c r="L19" s="236"/>
      <c r="M19" s="236"/>
    </row>
    <row r="20" spans="1:13">
      <c r="A20" s="236" t="s">
        <v>166</v>
      </c>
      <c r="B20" s="236" t="s">
        <v>167</v>
      </c>
      <c r="C20" s="236" t="s">
        <v>142</v>
      </c>
      <c r="D20" s="240">
        <v>3200</v>
      </c>
      <c r="E20" s="240">
        <v>200</v>
      </c>
      <c r="F20" s="55" t="s">
        <v>136</v>
      </c>
      <c r="G20" s="237"/>
      <c r="H20" s="236"/>
      <c r="I20" s="236"/>
      <c r="J20" s="237"/>
      <c r="K20" s="55"/>
      <c r="L20" s="236"/>
      <c r="M20" s="236"/>
    </row>
    <row r="21" spans="1:13">
      <c r="G21" s="241"/>
    </row>
    <row r="22" spans="1:13">
      <c r="A22" s="231" t="s">
        <v>169</v>
      </c>
      <c r="B22" s="231" t="s">
        <v>145</v>
      </c>
      <c r="C22" s="231" t="s">
        <v>146</v>
      </c>
      <c r="D22" s="232">
        <v>1600</v>
      </c>
      <c r="E22" s="232">
        <v>300</v>
      </c>
      <c r="F22" s="51" t="s">
        <v>217</v>
      </c>
      <c r="G22" s="233">
        <v>1200</v>
      </c>
      <c r="H22" s="231"/>
      <c r="I22" s="231">
        <v>6</v>
      </c>
      <c r="J22" s="233">
        <v>2448</v>
      </c>
      <c r="K22" s="51"/>
      <c r="L22" s="231"/>
      <c r="M22" s="231"/>
    </row>
    <row r="23" spans="1:13">
      <c r="A23" s="231"/>
      <c r="B23" s="231" t="s">
        <v>171</v>
      </c>
      <c r="C23" s="231" t="s">
        <v>172</v>
      </c>
      <c r="D23" s="232">
        <v>3200</v>
      </c>
      <c r="E23" s="232">
        <v>1000</v>
      </c>
      <c r="F23" s="51" t="s">
        <v>143</v>
      </c>
      <c r="G23" s="233"/>
      <c r="H23" s="231"/>
      <c r="I23" s="231"/>
      <c r="J23" s="233"/>
      <c r="K23" s="51"/>
      <c r="L23" s="231"/>
      <c r="M23" s="231"/>
    </row>
    <row r="24" spans="1:13">
      <c r="A24" s="231" t="s">
        <v>174</v>
      </c>
      <c r="B24" s="231" t="s">
        <v>175</v>
      </c>
      <c r="C24" s="231" t="s">
        <v>172</v>
      </c>
      <c r="D24" s="232"/>
      <c r="E24" s="232"/>
      <c r="F24" s="51" t="s">
        <v>143</v>
      </c>
      <c r="G24" s="233"/>
      <c r="H24" s="231"/>
      <c r="I24" s="231"/>
      <c r="J24" s="233"/>
      <c r="K24" s="51"/>
      <c r="L24" s="231"/>
      <c r="M24" s="231"/>
    </row>
    <row r="25" spans="1:13">
      <c r="A25" s="92"/>
      <c r="B25" s="92"/>
      <c r="C25" s="92"/>
      <c r="F25" s="48"/>
      <c r="G25" s="227"/>
      <c r="H25" s="92"/>
      <c r="I25" s="92"/>
      <c r="J25" s="227"/>
      <c r="K25" s="48"/>
      <c r="L25" s="92"/>
      <c r="M25" s="92"/>
    </row>
    <row r="26" spans="1:13">
      <c r="A26" s="92"/>
      <c r="B26" s="92"/>
      <c r="C26" s="92"/>
      <c r="F26" s="48"/>
      <c r="G26" s="227"/>
      <c r="H26" s="92"/>
      <c r="I26" s="92"/>
      <c r="J26" s="227"/>
      <c r="K26" s="48"/>
      <c r="L26" s="92"/>
      <c r="M26" s="92"/>
    </row>
    <row r="27" spans="1:13">
      <c r="A27" s="92"/>
      <c r="B27" s="92"/>
      <c r="C27" s="92"/>
      <c r="F27" s="48"/>
      <c r="G27" s="227"/>
      <c r="H27" s="92"/>
      <c r="I27" s="92"/>
      <c r="J27" s="227"/>
      <c r="K27" s="48"/>
      <c r="L27" s="92"/>
      <c r="M27" s="92"/>
    </row>
    <row r="28" spans="1:13">
      <c r="A28" s="92"/>
      <c r="B28" s="92"/>
      <c r="C28" s="92"/>
      <c r="F28" s="48"/>
      <c r="G28" s="227"/>
      <c r="H28" s="92"/>
      <c r="I28" s="92"/>
      <c r="J28" s="227"/>
      <c r="K28" s="48"/>
      <c r="L28" s="92"/>
      <c r="M28" s="92"/>
    </row>
    <row r="29" spans="1:13">
      <c r="A29" s="231"/>
      <c r="B29" s="231" t="s">
        <v>178</v>
      </c>
      <c r="C29" s="231" t="s">
        <v>179</v>
      </c>
      <c r="D29" s="232">
        <v>1600</v>
      </c>
      <c r="E29" s="232">
        <v>600</v>
      </c>
      <c r="F29" s="51" t="s">
        <v>143</v>
      </c>
      <c r="G29" s="233"/>
      <c r="H29" s="231"/>
      <c r="I29" s="231">
        <v>8</v>
      </c>
      <c r="J29" s="233">
        <v>3264</v>
      </c>
      <c r="K29" s="51"/>
      <c r="L29" s="231"/>
      <c r="M29" s="231"/>
    </row>
    <row r="30" spans="1:13">
      <c r="A30" s="231" t="s">
        <v>183</v>
      </c>
      <c r="B30" s="231" t="s">
        <v>184</v>
      </c>
      <c r="C30" s="231" t="s">
        <v>179</v>
      </c>
      <c r="D30" s="232"/>
      <c r="E30" s="232"/>
      <c r="F30" s="51" t="s">
        <v>136</v>
      </c>
      <c r="G30" s="233"/>
      <c r="H30" s="231"/>
      <c r="I30" s="231"/>
      <c r="J30" s="233"/>
      <c r="K30" s="51"/>
      <c r="L30" s="231"/>
      <c r="M30" s="231"/>
    </row>
    <row r="31" spans="1:13">
      <c r="A31" s="231" t="s">
        <v>188</v>
      </c>
      <c r="B31" s="231" t="s">
        <v>189</v>
      </c>
      <c r="C31" s="231" t="s">
        <v>190</v>
      </c>
      <c r="D31" s="232">
        <v>1600</v>
      </c>
      <c r="E31" s="232">
        <v>400</v>
      </c>
      <c r="F31" s="51" t="s">
        <v>136</v>
      </c>
      <c r="G31" s="233">
        <v>500</v>
      </c>
      <c r="H31" s="231"/>
      <c r="I31" s="231"/>
      <c r="J31" s="233"/>
      <c r="K31" s="51"/>
      <c r="L31" s="231"/>
      <c r="M31" s="231"/>
    </row>
    <row r="32" spans="1:13">
      <c r="A32" s="231" t="s">
        <v>192</v>
      </c>
      <c r="B32" s="231" t="s">
        <v>193</v>
      </c>
      <c r="C32" s="231" t="s">
        <v>194</v>
      </c>
      <c r="D32" s="232">
        <v>3200</v>
      </c>
      <c r="E32" s="232">
        <v>400</v>
      </c>
      <c r="F32" s="51" t="s">
        <v>143</v>
      </c>
      <c r="G32" s="233"/>
      <c r="H32" s="231"/>
      <c r="I32" s="231"/>
      <c r="J32" s="233"/>
      <c r="K32" s="51"/>
      <c r="L32" s="231"/>
      <c r="M32" s="231"/>
    </row>
    <row r="33" spans="1:13">
      <c r="A33" s="231" t="s">
        <v>195</v>
      </c>
      <c r="B33" s="231" t="s">
        <v>196</v>
      </c>
      <c r="C33" s="231" t="s">
        <v>197</v>
      </c>
      <c r="D33" s="232"/>
      <c r="E33" s="232">
        <v>120</v>
      </c>
      <c r="F33" s="51"/>
      <c r="G33" s="59"/>
      <c r="H33" s="51"/>
      <c r="I33" s="51"/>
      <c r="J33" s="59"/>
      <c r="K33" s="51"/>
      <c r="L33" s="231"/>
      <c r="M33" s="231"/>
    </row>
    <row r="34" spans="1:13">
      <c r="H34" s="92"/>
      <c r="I34" s="92"/>
      <c r="J34" s="227"/>
      <c r="K34" s="48"/>
      <c r="L34" s="92"/>
      <c r="M34" s="92"/>
    </row>
    <row r="35" spans="1:13">
      <c r="A35" s="92"/>
      <c r="B35" s="92"/>
      <c r="C35" s="92"/>
      <c r="F35" s="48"/>
      <c r="G35" s="227"/>
      <c r="H35" s="92"/>
      <c r="I35" s="92"/>
      <c r="J35" s="227"/>
      <c r="K35" s="48"/>
      <c r="L35" s="92"/>
      <c r="M35" s="92"/>
    </row>
    <row r="36" spans="1:13">
      <c r="A36" s="236" t="s">
        <v>199</v>
      </c>
      <c r="B36" s="236" t="s">
        <v>200</v>
      </c>
      <c r="C36" s="236" t="s">
        <v>194</v>
      </c>
      <c r="D36" s="240"/>
      <c r="E36" s="240">
        <v>400</v>
      </c>
      <c r="F36" s="55" t="s">
        <v>136</v>
      </c>
      <c r="G36" s="237"/>
      <c r="H36" s="236"/>
      <c r="I36" s="236">
        <v>2</v>
      </c>
      <c r="J36" s="237">
        <v>816</v>
      </c>
      <c r="K36" s="55"/>
      <c r="L36" s="236"/>
      <c r="M36" s="236"/>
    </row>
    <row r="37" spans="1:13">
      <c r="A37" s="236" t="s">
        <v>369</v>
      </c>
      <c r="B37" s="236" t="s">
        <v>370</v>
      </c>
      <c r="C37" s="236" t="s">
        <v>197</v>
      </c>
      <c r="D37" s="240"/>
      <c r="E37" s="240"/>
      <c r="F37" s="55"/>
      <c r="G37" s="60"/>
      <c r="H37" s="55"/>
      <c r="I37" s="55"/>
      <c r="J37" s="60"/>
      <c r="K37" s="55"/>
      <c r="L37" s="236"/>
      <c r="M37" s="236"/>
    </row>
    <row r="38" spans="1:13">
      <c r="H38" s="92"/>
      <c r="I38" s="92"/>
      <c r="J38" s="227"/>
      <c r="K38" s="48"/>
      <c r="L38" s="92"/>
      <c r="M38" s="92"/>
    </row>
    <row r="39" spans="1:13">
      <c r="A39" s="92"/>
      <c r="B39" s="92"/>
      <c r="C39" s="92"/>
      <c r="F39" s="48"/>
      <c r="G39" s="227"/>
      <c r="H39" s="92"/>
      <c r="I39" s="92"/>
      <c r="J39" s="227"/>
      <c r="K39" s="48"/>
      <c r="L39" s="92"/>
      <c r="M39" s="92"/>
    </row>
    <row r="40" spans="1:13">
      <c r="A40" s="92"/>
      <c r="B40" s="92"/>
      <c r="C40" s="92"/>
      <c r="F40" s="48"/>
      <c r="G40" s="227"/>
      <c r="H40" s="92"/>
      <c r="I40" s="92"/>
      <c r="J40" s="227"/>
      <c r="K40" s="48"/>
      <c r="L40" s="92"/>
      <c r="M40" s="92"/>
    </row>
    <row r="41" spans="1:13">
      <c r="A41" s="231" t="s">
        <v>202</v>
      </c>
      <c r="B41" s="231" t="s">
        <v>203</v>
      </c>
      <c r="C41" s="231" t="s">
        <v>204</v>
      </c>
      <c r="D41" s="232">
        <v>1600</v>
      </c>
      <c r="E41" s="232">
        <v>400</v>
      </c>
      <c r="F41" s="51" t="s">
        <v>136</v>
      </c>
      <c r="G41" s="233">
        <v>500</v>
      </c>
      <c r="H41" s="231"/>
      <c r="I41" s="231">
        <v>3</v>
      </c>
      <c r="J41" s="233">
        <v>1224</v>
      </c>
      <c r="K41" s="51"/>
      <c r="L41" s="231"/>
      <c r="M41" s="231"/>
    </row>
    <row r="42" spans="1:13">
      <c r="G42" s="241"/>
    </row>
    <row r="43" spans="1:13">
      <c r="A43" s="236" t="s">
        <v>206</v>
      </c>
      <c r="B43" s="236" t="s">
        <v>207</v>
      </c>
      <c r="C43" s="236" t="s">
        <v>208</v>
      </c>
      <c r="D43" s="240">
        <v>1600</v>
      </c>
      <c r="E43" s="240">
        <v>1600</v>
      </c>
      <c r="F43" s="55" t="s">
        <v>136</v>
      </c>
      <c r="G43" s="237">
        <v>500</v>
      </c>
      <c r="H43" s="236"/>
      <c r="I43" s="236">
        <v>9</v>
      </c>
      <c r="J43" s="242">
        <v>3672</v>
      </c>
      <c r="K43" s="61"/>
      <c r="L43" s="243"/>
      <c r="M43" s="236"/>
    </row>
    <row r="44" spans="1:13">
      <c r="A44" s="236" t="s">
        <v>210</v>
      </c>
      <c r="B44" s="236" t="s">
        <v>211</v>
      </c>
      <c r="C44" s="236" t="s">
        <v>208</v>
      </c>
      <c r="D44" s="240"/>
      <c r="E44" s="240"/>
      <c r="F44" s="55" t="s">
        <v>217</v>
      </c>
      <c r="G44" s="237">
        <v>2000</v>
      </c>
      <c r="H44" s="243"/>
      <c r="I44" s="243"/>
      <c r="J44" s="237"/>
      <c r="K44" s="55"/>
      <c r="L44" s="236"/>
      <c r="M44" s="236"/>
    </row>
    <row r="45" spans="1:13">
      <c r="A45" s="236" t="s">
        <v>215</v>
      </c>
      <c r="B45" s="236" t="s">
        <v>216</v>
      </c>
      <c r="C45" s="236" t="s">
        <v>208</v>
      </c>
      <c r="D45" s="240"/>
      <c r="E45" s="240"/>
      <c r="F45" s="55" t="s">
        <v>217</v>
      </c>
      <c r="G45" s="60"/>
      <c r="H45" s="236"/>
      <c r="I45" s="236"/>
      <c r="J45" s="237"/>
      <c r="K45" s="55"/>
      <c r="L45" s="236"/>
      <c r="M45" s="236"/>
    </row>
    <row r="46" spans="1:13">
      <c r="A46" s="236"/>
      <c r="B46" s="236" t="s">
        <v>218</v>
      </c>
      <c r="C46" s="236" t="s">
        <v>208</v>
      </c>
      <c r="D46" s="240"/>
      <c r="E46" s="240"/>
      <c r="F46" s="55" t="s">
        <v>136</v>
      </c>
      <c r="G46" s="237"/>
      <c r="H46" s="236"/>
      <c r="I46" s="236"/>
      <c r="J46" s="237"/>
      <c r="K46" s="55"/>
      <c r="L46" s="236"/>
      <c r="M46" s="236"/>
    </row>
    <row r="47" spans="1:13">
      <c r="A47" s="236" t="s">
        <v>219</v>
      </c>
      <c r="B47" s="236" t="s">
        <v>220</v>
      </c>
      <c r="C47" s="236" t="s">
        <v>221</v>
      </c>
      <c r="D47" s="240">
        <v>3200</v>
      </c>
      <c r="E47" s="240">
        <v>200</v>
      </c>
      <c r="F47" s="55" t="s">
        <v>217</v>
      </c>
      <c r="G47" s="237">
        <v>600</v>
      </c>
      <c r="H47" s="236"/>
      <c r="I47" s="236"/>
      <c r="J47" s="237"/>
      <c r="K47" s="55"/>
      <c r="L47" s="236"/>
      <c r="M47" s="236"/>
    </row>
    <row r="48" spans="1:13">
      <c r="A48" s="190"/>
      <c r="B48" s="190"/>
      <c r="C48" s="190"/>
      <c r="D48" s="244"/>
      <c r="E48" s="244"/>
      <c r="F48" s="62"/>
      <c r="G48" s="245"/>
      <c r="H48" s="190"/>
      <c r="I48" s="190"/>
      <c r="J48" s="245"/>
      <c r="K48" s="62"/>
      <c r="L48" s="190"/>
      <c r="M48" s="190"/>
    </row>
    <row r="49" spans="1:13">
      <c r="A49" s="231" t="s">
        <v>223</v>
      </c>
      <c r="B49" s="231" t="s">
        <v>224</v>
      </c>
      <c r="C49" s="231" t="s">
        <v>437</v>
      </c>
      <c r="D49" s="232"/>
      <c r="E49" s="232">
        <v>1200</v>
      </c>
      <c r="F49" s="51" t="s">
        <v>217</v>
      </c>
      <c r="G49" s="233">
        <v>1000</v>
      </c>
      <c r="H49" s="231"/>
      <c r="I49" s="231">
        <v>6</v>
      </c>
      <c r="J49" s="233">
        <v>2448</v>
      </c>
      <c r="K49" s="51"/>
      <c r="L49" s="231"/>
      <c r="M49" s="231"/>
    </row>
    <row r="50" spans="1:13">
      <c r="A50" s="231" t="s">
        <v>227</v>
      </c>
      <c r="B50" s="231" t="s">
        <v>228</v>
      </c>
      <c r="C50" s="231" t="s">
        <v>225</v>
      </c>
      <c r="D50" s="232"/>
      <c r="E50" s="232"/>
      <c r="F50" s="51" t="s">
        <v>143</v>
      </c>
      <c r="G50" s="233"/>
      <c r="H50" s="231"/>
      <c r="I50" s="231"/>
      <c r="J50" s="233"/>
      <c r="K50" s="51"/>
      <c r="L50" s="231"/>
      <c r="M50" s="231"/>
    </row>
    <row r="51" spans="1:13">
      <c r="A51" s="231" t="s">
        <v>230</v>
      </c>
      <c r="B51" s="231" t="s">
        <v>231</v>
      </c>
      <c r="C51" s="231" t="s">
        <v>225</v>
      </c>
      <c r="D51" s="232"/>
      <c r="E51" s="232"/>
      <c r="F51" s="51" t="s">
        <v>136</v>
      </c>
      <c r="G51" s="233"/>
      <c r="H51" s="231"/>
      <c r="I51" s="231"/>
      <c r="J51" s="233"/>
      <c r="K51" s="51"/>
      <c r="L51" s="231"/>
      <c r="M51" s="231"/>
    </row>
    <row r="52" spans="1:13">
      <c r="H52" s="92"/>
      <c r="I52" s="92"/>
      <c r="J52" s="246"/>
      <c r="K52" s="63"/>
      <c r="L52" s="108"/>
      <c r="M52" s="92"/>
    </row>
    <row r="53" spans="1:13">
      <c r="A53" s="92"/>
      <c r="B53" s="92"/>
      <c r="C53" s="92"/>
      <c r="F53" s="48"/>
      <c r="G53" s="227"/>
      <c r="H53" s="108"/>
      <c r="I53" s="108"/>
      <c r="J53" s="246"/>
      <c r="K53" s="63"/>
      <c r="L53" s="108"/>
      <c r="M53" s="92"/>
    </row>
    <row r="54" spans="1:13">
      <c r="A54" s="236" t="s">
        <v>233</v>
      </c>
      <c r="B54" s="236" t="s">
        <v>438</v>
      </c>
      <c r="C54" s="55"/>
      <c r="D54" s="54"/>
      <c r="E54" s="54"/>
      <c r="F54" s="55"/>
      <c r="G54" s="60"/>
      <c r="H54" s="61"/>
      <c r="I54" s="61"/>
      <c r="J54" s="64"/>
      <c r="K54" s="61"/>
      <c r="L54" s="243"/>
      <c r="M54" s="236"/>
    </row>
    <row r="55" spans="1:13">
      <c r="A55" s="236" t="s">
        <v>235</v>
      </c>
      <c r="B55" s="236" t="s">
        <v>235</v>
      </c>
      <c r="C55" s="236" t="s">
        <v>190</v>
      </c>
      <c r="D55" s="240">
        <v>3200</v>
      </c>
      <c r="E55" s="240">
        <v>400</v>
      </c>
      <c r="F55" s="55" t="s">
        <v>143</v>
      </c>
      <c r="G55" s="237"/>
      <c r="H55" s="243"/>
      <c r="I55" s="243">
        <v>3</v>
      </c>
      <c r="J55" s="242">
        <v>1224</v>
      </c>
      <c r="K55" s="61"/>
      <c r="L55" s="243"/>
      <c r="M55" s="236"/>
    </row>
    <row r="56" spans="1:13">
      <c r="H56" s="108"/>
      <c r="I56" s="108"/>
      <c r="J56" s="246"/>
      <c r="K56" s="63"/>
      <c r="L56" s="108"/>
      <c r="M56" s="92"/>
    </row>
    <row r="57" spans="1:13">
      <c r="A57" s="92"/>
      <c r="B57" s="92"/>
      <c r="C57" s="92"/>
      <c r="F57" s="48"/>
      <c r="G57" s="227"/>
      <c r="H57" s="108"/>
      <c r="I57" s="108"/>
      <c r="J57" s="246"/>
      <c r="K57" s="63"/>
      <c r="L57" s="108"/>
      <c r="M57" s="92"/>
    </row>
    <row r="58" spans="1:13">
      <c r="A58" s="231" t="s">
        <v>238</v>
      </c>
      <c r="B58" s="231" t="s">
        <v>239</v>
      </c>
      <c r="C58" s="231" t="s">
        <v>155</v>
      </c>
      <c r="D58" s="232">
        <v>1600</v>
      </c>
      <c r="E58" s="232">
        <v>1000</v>
      </c>
      <c r="F58" s="51" t="s">
        <v>136</v>
      </c>
      <c r="G58" s="233">
        <v>500</v>
      </c>
      <c r="H58" s="247"/>
      <c r="I58" s="247">
        <v>6</v>
      </c>
      <c r="J58" s="248">
        <v>2448</v>
      </c>
      <c r="K58" s="65"/>
      <c r="L58" s="247"/>
      <c r="M58" s="231"/>
    </row>
    <row r="59" spans="1:13">
      <c r="A59" s="231" t="s">
        <v>241</v>
      </c>
      <c r="B59" s="231" t="s">
        <v>242</v>
      </c>
      <c r="C59" s="231" t="s">
        <v>146</v>
      </c>
      <c r="D59" s="232"/>
      <c r="E59" s="232"/>
      <c r="F59" s="51" t="s">
        <v>136</v>
      </c>
      <c r="G59" s="233"/>
      <c r="H59" s="247"/>
      <c r="I59" s="247"/>
      <c r="J59" s="248"/>
      <c r="K59" s="65"/>
      <c r="L59" s="247"/>
      <c r="M59" s="231"/>
    </row>
    <row r="60" spans="1:13">
      <c r="A60" s="231"/>
      <c r="B60" s="231" t="s">
        <v>245</v>
      </c>
      <c r="C60" s="231" t="s">
        <v>246</v>
      </c>
      <c r="D60" s="232">
        <v>1600</v>
      </c>
      <c r="E60" s="232"/>
      <c r="F60" s="51" t="s">
        <v>136</v>
      </c>
      <c r="G60" s="233">
        <v>500</v>
      </c>
      <c r="H60" s="247"/>
      <c r="I60" s="247"/>
      <c r="J60" s="248"/>
      <c r="K60" s="65"/>
      <c r="L60" s="247"/>
      <c r="M60" s="231"/>
    </row>
    <row r="61" spans="1:13">
      <c r="H61" s="108"/>
      <c r="I61" s="108"/>
      <c r="J61" s="246"/>
      <c r="K61" s="63"/>
      <c r="L61" s="108"/>
      <c r="M61" s="92"/>
    </row>
    <row r="62" spans="1:13">
      <c r="A62" s="92"/>
      <c r="B62" s="92"/>
      <c r="C62" s="92"/>
      <c r="F62" s="48"/>
      <c r="G62" s="227"/>
      <c r="H62" s="108"/>
      <c r="I62" s="108"/>
      <c r="J62" s="246"/>
      <c r="K62" s="63"/>
      <c r="L62" s="108"/>
      <c r="M62" s="92"/>
    </row>
    <row r="63" spans="1:13">
      <c r="A63" s="92"/>
      <c r="B63" s="92"/>
      <c r="C63" s="92"/>
      <c r="F63" s="48"/>
      <c r="G63" s="227"/>
      <c r="H63" s="108"/>
      <c r="I63" s="108"/>
      <c r="J63" s="246"/>
      <c r="K63" s="63"/>
      <c r="L63" s="108"/>
      <c r="M63" s="92"/>
    </row>
    <row r="64" spans="1:13">
      <c r="A64" s="92"/>
      <c r="B64" s="92"/>
      <c r="C64" s="92"/>
      <c r="F64" s="48"/>
      <c r="G64" s="227"/>
      <c r="H64" s="108"/>
      <c r="I64" s="108"/>
      <c r="J64" s="227"/>
      <c r="K64" s="48"/>
      <c r="L64" s="92"/>
      <c r="M64" s="92"/>
    </row>
    <row r="65" spans="1:13">
      <c r="A65" s="92"/>
      <c r="B65" s="92"/>
      <c r="C65" s="92"/>
      <c r="F65" s="48"/>
      <c r="G65" s="227"/>
      <c r="H65" s="108"/>
      <c r="I65" s="108"/>
      <c r="J65" s="227"/>
      <c r="K65" s="48"/>
      <c r="L65" s="92"/>
      <c r="M65" s="92"/>
    </row>
    <row r="66" spans="1:13">
      <c r="A66" s="92"/>
      <c r="B66" s="92"/>
      <c r="C66" s="92"/>
      <c r="F66" s="48"/>
      <c r="G66" s="227"/>
      <c r="H66" s="108"/>
      <c r="I66" s="108"/>
      <c r="J66" s="227"/>
      <c r="K66" s="48"/>
      <c r="L66" s="92"/>
      <c r="M66" s="92"/>
    </row>
    <row r="67" spans="1:13">
      <c r="A67" s="92"/>
      <c r="B67" s="92"/>
      <c r="C67" s="92"/>
      <c r="F67" s="48"/>
      <c r="G67" s="227"/>
      <c r="H67" s="92"/>
      <c r="I67" s="92"/>
      <c r="J67" s="227"/>
      <c r="K67" s="48"/>
      <c r="L67" s="92"/>
      <c r="M67" s="92"/>
    </row>
    <row r="68" spans="1:13">
      <c r="A68" s="92"/>
      <c r="B68" s="92"/>
      <c r="C68" s="92"/>
      <c r="F68" s="48"/>
      <c r="G68" s="227"/>
      <c r="H68" s="92"/>
      <c r="I68" s="92"/>
      <c r="J68" s="227"/>
      <c r="K68" s="66" t="s">
        <v>439</v>
      </c>
      <c r="L68" s="92"/>
      <c r="M68" s="92"/>
    </row>
    <row r="69" spans="1:13" ht="16" thickBot="1">
      <c r="A69" s="92"/>
      <c r="B69" s="92"/>
      <c r="C69" s="92"/>
      <c r="F69" s="48"/>
      <c r="G69" s="227"/>
      <c r="H69" s="92"/>
      <c r="I69" s="92"/>
      <c r="J69" s="227"/>
      <c r="K69" s="66" t="s">
        <v>124</v>
      </c>
      <c r="L69" s="92"/>
      <c r="M69" s="92"/>
    </row>
    <row r="70" spans="1:13" ht="16" thickBot="1">
      <c r="A70" s="249" t="s">
        <v>124</v>
      </c>
      <c r="B70" s="250"/>
      <c r="C70" s="251"/>
      <c r="D70" s="252">
        <f>SUM(D2:D60)</f>
        <v>33600</v>
      </c>
      <c r="E70" s="252">
        <f>SUM(E2:E68)</f>
        <v>11220</v>
      </c>
      <c r="F70" s="67"/>
      <c r="G70" s="253">
        <f>SUM(G2:G60)</f>
        <v>10000</v>
      </c>
      <c r="H70" s="251"/>
      <c r="I70" s="251"/>
      <c r="J70" s="254">
        <f>SUM(J2:J58)</f>
        <v>24480</v>
      </c>
      <c r="K70" s="68">
        <f>SUM(D70:J70)</f>
        <v>79300</v>
      </c>
      <c r="L70" s="92"/>
      <c r="M70" s="92"/>
    </row>
    <row r="71" spans="1:13" ht="16" thickBot="1">
      <c r="A71" s="92" t="s">
        <v>248</v>
      </c>
      <c r="B71" s="92"/>
      <c r="C71" s="92"/>
      <c r="F71" s="69"/>
      <c r="G71" s="255"/>
      <c r="H71" s="92"/>
      <c r="I71" s="92"/>
      <c r="J71" s="227"/>
      <c r="K71" s="48"/>
      <c r="L71" s="92"/>
      <c r="M71" s="92"/>
    </row>
    <row r="72" spans="1:13" ht="16" thickBot="1">
      <c r="A72" s="256" t="s">
        <v>249</v>
      </c>
      <c r="B72" s="257"/>
      <c r="C72" s="70"/>
      <c r="D72" s="252"/>
      <c r="E72" s="252"/>
      <c r="F72" s="71"/>
      <c r="G72" s="72"/>
      <c r="H72" s="251"/>
      <c r="I72" s="251"/>
      <c r="J72" s="254"/>
      <c r="K72" s="48"/>
      <c r="L72" s="92"/>
      <c r="M72" s="92"/>
    </row>
    <row r="73" spans="1:13">
      <c r="H73" s="92"/>
      <c r="I73" s="92"/>
      <c r="J73" s="227"/>
      <c r="K73" s="48"/>
      <c r="L73" s="92"/>
      <c r="M73" s="92"/>
    </row>
    <row r="74" spans="1:13">
      <c r="H74" s="92"/>
      <c r="I74" s="92"/>
      <c r="J74" s="227"/>
      <c r="K74" s="48"/>
      <c r="L74" s="92"/>
      <c r="M74" s="92"/>
    </row>
    <row r="75" spans="1:13">
      <c r="A75" s="92"/>
      <c r="B75" s="92"/>
      <c r="C75" s="92"/>
      <c r="F75" s="48"/>
      <c r="G75" s="227"/>
      <c r="H75" s="92"/>
      <c r="I75" s="92"/>
      <c r="J75" s="227"/>
      <c r="K75" s="48"/>
      <c r="L75" s="92"/>
      <c r="M75" s="92"/>
    </row>
    <row r="76" spans="1:13">
      <c r="A76" s="92"/>
      <c r="B76" s="92"/>
      <c r="C76" s="92"/>
      <c r="F76" s="48"/>
      <c r="G76" s="227"/>
      <c r="H76" s="92"/>
      <c r="I76" s="92"/>
      <c r="J76" s="227"/>
      <c r="K76" s="48"/>
      <c r="L76" s="92"/>
      <c r="M76" s="92"/>
    </row>
    <row r="77" spans="1:13">
      <c r="A77" s="92"/>
      <c r="B77" s="92"/>
      <c r="C77" s="92"/>
      <c r="F77" s="48"/>
      <c r="G77" s="227"/>
      <c r="H77" s="92"/>
      <c r="I77" s="92"/>
      <c r="J77" s="227"/>
      <c r="K77" s="48"/>
      <c r="L77" s="92"/>
      <c r="M77" s="92"/>
    </row>
    <row r="78" spans="1:13">
      <c r="A78" s="92"/>
      <c r="B78" s="92"/>
      <c r="C78" s="92"/>
      <c r="F78" s="48"/>
      <c r="G78" s="227"/>
      <c r="H78" s="92"/>
      <c r="I78" s="92"/>
      <c r="J78" s="227"/>
      <c r="K78" s="48"/>
      <c r="L78" s="92"/>
      <c r="M78" s="92"/>
    </row>
    <row r="79" spans="1:13">
      <c r="A79" s="92"/>
      <c r="B79" s="92"/>
      <c r="C79" s="92"/>
      <c r="F79" s="48"/>
      <c r="G79" s="227"/>
      <c r="H79" s="92"/>
      <c r="I79" s="92"/>
      <c r="J79" s="227"/>
      <c r="K79" s="48"/>
      <c r="L79" s="92"/>
      <c r="M79" s="9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Budget</vt:lpstr>
      <vt:lpstr>Home Concerts</vt:lpstr>
      <vt:lpstr>FY17 personnel</vt:lpstr>
      <vt:lpstr>Artistic</vt:lpstr>
      <vt:lpstr>Admin</vt:lpstr>
      <vt:lpstr>FY17 AAM</vt:lpstr>
      <vt:lpstr>FY17 self-bookings</vt:lpstr>
      <vt:lpstr>Found&amp;Govt</vt:lpstr>
      <vt:lpstr>Travel (Goinz)</vt:lpstr>
      <vt:lpstr>Dev Exp (Carly)</vt:lpstr>
      <vt:lpstr>Marketing (Carly)</vt:lpstr>
      <vt:lpstr>NAF Loan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Joey Hillesheim</cp:lastModifiedBy>
  <cp:lastPrinted>2016-05-17T21:05:44Z</cp:lastPrinted>
  <dcterms:created xsi:type="dcterms:W3CDTF">2016-05-14T22:29:32Z</dcterms:created>
  <dcterms:modified xsi:type="dcterms:W3CDTF">2016-08-15T22:03:59Z</dcterms:modified>
</cp:coreProperties>
</file>